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10.xml.rels" ContentType="application/vnd.openxmlformats-package.relationships+xml"/>
  <Override PartName="/xl/worksheets/_rels/sheet9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omments9.xml" ContentType="application/vnd.openxmlformats-officedocument.spreadsheetml.comments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vmlDrawing1.vml" ContentType="application/vnd.openxmlformats-officedocument.vmlDrawing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ções" sheetId="1" state="visible" r:id="rId3"/>
    <sheet name="Parâmetros" sheetId="2" state="visible" r:id="rId4"/>
    <sheet name="Compras" sheetId="3" state="visible" r:id="rId5"/>
    <sheet name="Embalagens" sheetId="4" state="visible" r:id="rId6"/>
    <sheet name="Despesas" sheetId="5" state="visible" r:id="rId7"/>
    <sheet name="Fichas técnicas" sheetId="6" state="visible" r:id="rId8"/>
    <sheet name="Precificação" sheetId="7" state="visible" r:id="rId9"/>
    <sheet name="Entregas" sheetId="8" state="visible" r:id="rId10"/>
    <sheet name="Plano anual" sheetId="9" state="visible" r:id="rId11"/>
    <sheet name="Resumo" sheetId="10" state="visible" r:id="rId1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9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5" authorId="0">
      <text>
        <r>
          <rPr>
            <sz val="10"/>
            <rFont val="Arial"/>
            <family val="2"/>
          </rPr>
          <t xml:space="preserve">Exemplo: picos no Dia das Mães (maio), Dia dos Namorados (junho), Finados (novembro) e Natal; queda no Carnaval e nas férias de julho. Troque pelos dados da sua loja.</t>
        </r>
      </text>
    </comment>
  </commentList>
</comments>
</file>

<file path=xl/sharedStrings.xml><?xml version="1.0" encoding="utf-8"?>
<sst xmlns="http://schemas.openxmlformats.org/spreadsheetml/2006/main" count="289" uniqueCount="208">
  <si>
    <t xml:space="preserve">Modelo financeiro de uma pequena floricultura</t>
  </si>
  <si>
    <t xml:space="preserve">Como o modelo funciona</t>
  </si>
  <si>
    <t xml:space="preserve">1. Parâmetros</t>
  </si>
  <si>
    <t xml:space="preserve">Imposto, maquininha, comissões, lucro desejado, horas de trabalho</t>
  </si>
  <si>
    <t xml:space="preserve">2. Compras</t>
  </si>
  <si>
    <t xml:space="preserve">Preço do maço de flores e folhagens, frete, % de perda → custo da haste vendida</t>
  </si>
  <si>
    <t xml:space="preserve">3. Embalagens</t>
  </si>
  <si>
    <t xml:space="preserve">Preço unitário de embalagens e materiais</t>
  </si>
  <si>
    <t xml:space="preserve">4. Despesas</t>
  </si>
  <si>
    <t xml:space="preserve">Salário das floristas e custos fixos do mês → custo da hora da florista e taxa de rateio</t>
  </si>
  <si>
    <t xml:space="preserve">5. Fichas técnicas</t>
  </si>
  <si>
    <t xml:space="preserve">Composição de cada buquê: itens das abas «Compras» e «Embalagens» e quantidade</t>
  </si>
  <si>
    <t xml:space="preserve">6. Precificação</t>
  </si>
  <si>
    <t xml:space="preserve">Custo real de cada buquê, preço sugerido, lucro e markup</t>
  </si>
  <si>
    <t xml:space="preserve">7. Entregas</t>
  </si>
  <si>
    <t xml:space="preserve">Custo e preço da entrega por região</t>
  </si>
  <si>
    <t xml:space="preserve">8. Plano anual</t>
  </si>
  <si>
    <t xml:space="preserve">Vendas por mês com sazonalidade → faturamento, lucro, ponto de equilíbrio</t>
  </si>
  <si>
    <t xml:space="preserve">9. Resumo</t>
  </si>
  <si>
    <t xml:space="preserve">Principais números do ano e gráfico</t>
  </si>
  <si>
    <t xml:space="preserve">Legenda</t>
  </si>
  <si>
    <t xml:space="preserve">Texto azul em fundo amarelo</t>
  </si>
  <si>
    <t xml:space="preserve">Dados de entrada: troque pelos seus</t>
  </si>
  <si>
    <t xml:space="preserve">Texto preto</t>
  </si>
  <si>
    <t xml:space="preserve">Fórmulas: não altere</t>
  </si>
  <si>
    <t xml:space="preserve">Texto verde</t>
  </si>
  <si>
    <t xml:space="preserve">Referências a outras abas</t>
  </si>
  <si>
    <t xml:space="preserve">Ordem de preenchimento</t>
  </si>
  <si>
    <t xml:space="preserve">Parâmetros → Compras → Embalagens → Despesas → Fichas técnicas → Precificação (tempo de montagem) → Entregas → Plano anual</t>
  </si>
  <si>
    <t xml:space="preserve">Importante</t>
  </si>
  <si>
    <t xml:space="preserve">Todos os números do modelo são exemplos ilustrativos (R$, Simples Nacional 7%), não dados de mercado. Substitua pelos números do seu negócio.</t>
  </si>
  <si>
    <t xml:space="preserve">Parâmetros do modelo</t>
  </si>
  <si>
    <t xml:space="preserve">As células azuis com fundo amarelo podem ser alteradas</t>
  </si>
  <si>
    <t xml:space="preserve">Parâmetro</t>
  </si>
  <si>
    <t xml:space="preserve">Valor</t>
  </si>
  <si>
    <t xml:space="preserve">Comentário</t>
  </si>
  <si>
    <t xml:space="preserve">Imposto sobre o faturamento (Simples Nacional)</t>
  </si>
  <si>
    <t xml:space="preserve">Exemplo: 7%, alíquota efetiva do Anexo I (comércio) para faturamento de cerca de R$ 530 mil/ano. Começa em 4% até R$ 180 mil/ano e sobe com o faturamento. Use a do seu DAS. MEI paga valor fixo: coloque 0</t>
  </si>
  <si>
    <t xml:space="preserve">Taxa da maquininha (cartão e Pix)</t>
  </si>
  <si>
    <t xml:space="preserve">Exemplo: média entre Pix, débito e crédito</t>
  </si>
  <si>
    <t xml:space="preserve">Comissão de marketplaces e aplicativos</t>
  </si>
  <si>
    <t xml:space="preserve">Média sobre todas as vendas (iFood, sites de flores etc.); 0 se você vende só direto</t>
  </si>
  <si>
    <t xml:space="preserve">Comissão das floristas sobre vendas</t>
  </si>
  <si>
    <t xml:space="preserve">Se as floristas ganham % das vendas; o salário fixo fica na aba «Despesas»</t>
  </si>
  <si>
    <t xml:space="preserve">Lucro desejado, % do preço</t>
  </si>
  <si>
    <t xml:space="preserve">Usado para calcular o preço sugerido</t>
  </si>
  <si>
    <t xml:space="preserve">Arredondamento do preço, R$</t>
  </si>
  <si>
    <t xml:space="preserve">O preço é arredondado para cima até este valor</t>
  </si>
  <si>
    <t xml:space="preserve">Total de deduções sobre o preço</t>
  </si>
  <si>
    <t xml:space="preserve">Imposto + maquininha + comissões + % das floristas</t>
  </si>
  <si>
    <t xml:space="preserve">Horas de trabalho</t>
  </si>
  <si>
    <t xml:space="preserve">Horas de trabalho por mês por funcionária</t>
  </si>
  <si>
    <t xml:space="preserve">Jornada CLT de 44 horas semanais</t>
  </si>
  <si>
    <t xml:space="preserve">Parte do tempo da florista dedicada a montar buquês</t>
  </si>
  <si>
    <t xml:space="preserve">O resto do tempo vai para atendimento, recebimento e tratamento das flores, limpeza. Exemplo</t>
  </si>
  <si>
    <t xml:space="preserve">Compras de flores e folhagens</t>
  </si>
  <si>
    <t xml:space="preserve">Custo da haste vendida = (preço do maço + frete) / hastes no maço / (1 − % de perda)</t>
  </si>
  <si>
    <t xml:space="preserve">Item</t>
  </si>
  <si>
    <t xml:space="preserve">Un.</t>
  </si>
  <si>
    <t xml:space="preserve">Unidades no maço</t>
  </si>
  <si>
    <t xml:space="preserve">Preço do maço, R$</t>
  </si>
  <si>
    <t xml:space="preserve">Frete por maço, R$</t>
  </si>
  <si>
    <t xml:space="preserve">Preço unitário, R$</t>
  </si>
  <si>
    <t xml:space="preserve">% de perda</t>
  </si>
  <si>
    <t xml:space="preserve">Custo da unidade vendida, R$</t>
  </si>
  <si>
    <t xml:space="preserve">Rosa nacional 60 cm</t>
  </si>
  <si>
    <t xml:space="preserve">un</t>
  </si>
  <si>
    <t xml:space="preserve">Rosa nacional 40 cm</t>
  </si>
  <si>
    <t xml:space="preserve">Girassol</t>
  </si>
  <si>
    <t xml:space="preserve">Alstroeméria</t>
  </si>
  <si>
    <t xml:space="preserve">Tulipa</t>
  </si>
  <si>
    <t xml:space="preserve">Eucalipto</t>
  </si>
  <si>
    <t xml:space="preserve">galho</t>
  </si>
  <si>
    <t xml:space="preserve">Pistache (folhagem)</t>
  </si>
  <si>
    <t xml:space="preserve">Mosquitinho</t>
  </si>
  <si>
    <t xml:space="preserve">Frete por maço = custo do frete do fornecedor (Ceagesp, Holambra, distribuidor) / número de maços no pedido. % de perda: hastes descartadas no mês / hastes compradas. Preços e percentuais são exemplos.</t>
  </si>
  <si>
    <t xml:space="preserve">Embalagens e materiais</t>
  </si>
  <si>
    <t xml:space="preserve">Preço por unidade; não há perda nas embalagens</t>
  </si>
  <si>
    <t xml:space="preserve">Papel kraft ou celofane, folha</t>
  </si>
  <si>
    <t xml:space="preserve">folha</t>
  </si>
  <si>
    <t xml:space="preserve">Celofane para 1 flor</t>
  </si>
  <si>
    <t xml:space="preserve">Sacola</t>
  </si>
  <si>
    <t xml:space="preserve">Fita</t>
  </si>
  <si>
    <t xml:space="preserve">Cartão</t>
  </si>
  <si>
    <t xml:space="preserve">Caixa para arranjo</t>
  </si>
  <si>
    <t xml:space="preserve">Espuma floral</t>
  </si>
  <si>
    <t xml:space="preserve">Kit água (aquapack)</t>
  </si>
  <si>
    <t xml:space="preserve">Preços são exemplos.</t>
  </si>
  <si>
    <t xml:space="preserve">Despesas do mês</t>
  </si>
  <si>
    <t xml:space="preserve">Salário das floristas e custos fixos, que não dependem do volume de vendas</t>
  </si>
  <si>
    <t xml:space="preserve">Floristas</t>
  </si>
  <si>
    <t xml:space="preserve">Número de floristas</t>
  </si>
  <si>
    <t xml:space="preserve">Salário de uma florista, R$/mês</t>
  </si>
  <si>
    <t xml:space="preserve">Encargos e benefícios, %</t>
  </si>
  <si>
    <t xml:space="preserve">Exemplo: 13º, férias + 1/3, FGTS 8%, vale-transporte e vale-refeição. No Simples (Anexo I) o INSS patronal já está no DAS</t>
  </si>
  <si>
    <t xml:space="preserve">Custo total das floristas, R$/mês</t>
  </si>
  <si>
    <t xml:space="preserve">Horas de montagem de buquês por mês</t>
  </si>
  <si>
    <t xml:space="preserve">Custo da hora de montagem, R$/h</t>
  </si>
  <si>
    <t xml:space="preserve">O custo das floristas é dividido só pelas horas de montagem, assim os buquês pagam o salário inteiro</t>
  </si>
  <si>
    <t xml:space="preserve">Custos fixos</t>
  </si>
  <si>
    <t xml:space="preserve">Despesa</t>
  </si>
  <si>
    <t xml:space="preserve">Por mês, R$</t>
  </si>
  <si>
    <t xml:space="preserve">Aluguel da loja</t>
  </si>
  <si>
    <t xml:space="preserve">Marketing, Instagram, anúncios</t>
  </si>
  <si>
    <t xml:space="preserve">Energia (câmara fria), água</t>
  </si>
  <si>
    <t xml:space="preserve">Contador</t>
  </si>
  <si>
    <t xml:space="preserve">Depreciação da câmara fria e equipamentos</t>
  </si>
  <si>
    <t xml:space="preserve">Equipamentos de R$ 30.000 em 5 anos (60 meses)</t>
  </si>
  <si>
    <t xml:space="preserve">Sistema, internet, telefone</t>
  </si>
  <si>
    <t xml:space="preserve">Material de consumo: baldes, conservante, tesouras, limpeza</t>
  </si>
  <si>
    <t xml:space="preserve">Custos fixos totais, R$/mês</t>
  </si>
  <si>
    <t xml:space="preserve">Rateio dos custos fixos</t>
  </si>
  <si>
    <t xml:space="preserve">Gasto com materiais em um mês normal, R$</t>
  </si>
  <si>
    <t xml:space="preserve">Calculado a partir do plano de vendas base na aba «Plano anual»</t>
  </si>
  <si>
    <t xml:space="preserve">Taxa de rateio, % sobre materiais</t>
  </si>
  <si>
    <t xml:space="preserve">Despesas fixas totais, R$/mês</t>
  </si>
  <si>
    <t xml:space="preserve">Custo das floristas + custos fixos</t>
  </si>
  <si>
    <t xml:space="preserve">Fichas técnicas dos buquês</t>
  </si>
  <si>
    <t xml:space="preserve">Uma linha = um item do buquê. O nome do item deve ser igual ao das abas «Compras» ou «Embalagens»</t>
  </si>
  <si>
    <t xml:space="preserve">Buquê</t>
  </si>
  <si>
    <t xml:space="preserve">Qtd.</t>
  </si>
  <si>
    <t xml:space="preserve">Custo, R$</t>
  </si>
  <si>
    <t xml:space="preserve">Tipo</t>
  </si>
  <si>
    <t xml:space="preserve">Buquê 15 rosas com eucalipto</t>
  </si>
  <si>
    <t xml:space="preserve">Buquê 5 girassóis</t>
  </si>
  <si>
    <t xml:space="preserve">Mix: rosas e alstroemérias</t>
  </si>
  <si>
    <t xml:space="preserve">Rosa avulsa 60 cm</t>
  </si>
  <si>
    <t xml:space="preserve">Cálculo de custo e preço</t>
  </si>
  <si>
    <t xml:space="preserve">Uma linha por buquê. Preencha o nome (igual às «Fichas técnicas») e o tempo de montagem; o resto é calculado</t>
  </si>
  <si>
    <t xml:space="preserve">Tempo de montagem, min</t>
  </si>
  <si>
    <t xml:space="preserve">Flores e folhagens, R$</t>
  </si>
  <si>
    <t xml:space="preserve">Embalagem, R$</t>
  </si>
  <si>
    <t xml:space="preserve">Materiais, R$</t>
  </si>
  <si>
    <t xml:space="preserve">Florista, R$</t>
  </si>
  <si>
    <t xml:space="preserve">Custos fixos, R$</t>
  </si>
  <si>
    <t xml:space="preserve">Custo real, R$</t>
  </si>
  <si>
    <t xml:space="preserve">Preço calculado, R$</t>
  </si>
  <si>
    <t xml:space="preserve">Preço de venda, R$</t>
  </si>
  <si>
    <t xml:space="preserve">Deduções sobre o preço, R$</t>
  </si>
  <si>
    <t xml:space="preserve">Lucro, R$</t>
  </si>
  <si>
    <t xml:space="preserve">Lucro, % do preço</t>
  </si>
  <si>
    <t xml:space="preserve">Markup sobre o custo</t>
  </si>
  <si>
    <t xml:space="preserve">Margem de contribuição, R$</t>
  </si>
  <si>
    <t xml:space="preserve">Preço de venda = preço calculado arredondado para cima. Você pode digitar o seu próprio preço na coluna J e o lucro e o markup serão recalculados. Margem de contribuição = preço − materiais − deduções: o que o buquê deixa para pagar os custos fixos.</t>
  </si>
  <si>
    <t xml:space="preserve">Entregas</t>
  </si>
  <si>
    <t xml:space="preserve">Serviço à parte, com custo próprio por pedido</t>
  </si>
  <si>
    <t xml:space="preserve">Região</t>
  </si>
  <si>
    <t xml:space="preserve">Motoboy ou app de entrega, R$</t>
  </si>
  <si>
    <t xml:space="preserve">Kit água e embalagem, R$</t>
  </si>
  <si>
    <t xml:space="preserve">Preço para o cliente, R$</t>
  </si>
  <si>
    <t xml:space="preserve">Resultado por pedido, R$</t>
  </si>
  <si>
    <t xml:space="preserve">% dos pedidos</t>
  </si>
  <si>
    <t xml:space="preserve">Até 3 km</t>
  </si>
  <si>
    <t xml:space="preserve">3–7 km</t>
  </si>
  <si>
    <t xml:space="preserve">7–15 km</t>
  </si>
  <si>
    <t xml:space="preserve">Média por pedido</t>
  </si>
  <si>
    <t xml:space="preserve">A soma dos % por região deve dar 100%. Se a entrega é grátis acima de um valor, coloque preço 0 nessa região: o resultado fica negativo e vira um custo que os buquês precisam cobrir. Valores são exemplos.</t>
  </si>
  <si>
    <t xml:space="preserve">Plano anual por mês</t>
  </si>
  <si>
    <t xml:space="preserve">Vendas = base de um mês normal × índice de sazonalidade</t>
  </si>
  <si>
    <t xml:space="preserve">Indicador</t>
  </si>
  <si>
    <t xml:space="preserve">Base (mês normal)</t>
  </si>
  <si>
    <t xml:space="preserve">Jan</t>
  </si>
  <si>
    <t xml:space="preserve">Fev</t>
  </si>
  <si>
    <t xml:space="preserve">Mar</t>
  </si>
  <si>
    <t xml:space="preserve">Abr</t>
  </si>
  <si>
    <t xml:space="preserve">Mai</t>
  </si>
  <si>
    <t xml:space="preserve">Jun</t>
  </si>
  <si>
    <t xml:space="preserve">Jul</t>
  </si>
  <si>
    <t xml:space="preserve">Ago</t>
  </si>
  <si>
    <t xml:space="preserve">Set</t>
  </si>
  <si>
    <t xml:space="preserve">Out</t>
  </si>
  <si>
    <t xml:space="preserve">Nov</t>
  </si>
  <si>
    <t xml:space="preserve">Dez</t>
  </si>
  <si>
    <t xml:space="preserve">Ano</t>
  </si>
  <si>
    <t xml:space="preserve">Índice de sazonalidade da demanda</t>
  </si>
  <si>
    <t xml:space="preserve">Índice de preço de compra</t>
  </si>
  <si>
    <t xml:space="preserve">Plano de vendas, un</t>
  </si>
  <si>
    <t xml:space="preserve">Valores, R$</t>
  </si>
  <si>
    <t xml:space="preserve">Faturamento com buquês</t>
  </si>
  <si>
    <t xml:space="preserve">Faturamento com entregas</t>
  </si>
  <si>
    <t xml:space="preserve">Faturamento total</t>
  </si>
  <si>
    <t xml:space="preserve">Materiais (flores, folhagens, embalagens)</t>
  </si>
  <si>
    <t xml:space="preserve">Imposto, maquininha, comissões</t>
  </si>
  <si>
    <t xml:space="preserve">Custo das entregas</t>
  </si>
  <si>
    <t xml:space="preserve">Margem de contribuição</t>
  </si>
  <si>
    <t xml:space="preserve">Despesas fixas (floristas + custos fixos)</t>
  </si>
  <si>
    <t xml:space="preserve">Lucro</t>
  </si>
  <si>
    <t xml:space="preserve">Lucro acumulado</t>
  </si>
  <si>
    <t xml:space="preserve">Gasto com materiais em um mês normal (para a taxa de rateio)</t>
  </si>
  <si>
    <t xml:space="preserve">Margem de lucro, % do faturamento</t>
  </si>
  <si>
    <t xml:space="preserve">Ponto de equilíbrio</t>
  </si>
  <si>
    <t xml:space="preserve">Despesas fixas por mês, R$</t>
  </si>
  <si>
    <t xml:space="preserve">Margem de contribuição, % do faturamento (ano)</t>
  </si>
  <si>
    <t xml:space="preserve">Faturamento no ponto de equilíbrio, R$/mês</t>
  </si>
  <si>
    <t xml:space="preserve">Faturamento médio mensal no plano, R$</t>
  </si>
  <si>
    <t xml:space="preserve">Margem de segurança (quanto o faturamento pode cair até o lucro zerar)</t>
  </si>
  <si>
    <t xml:space="preserve">Meses com prejuízo no ano</t>
  </si>
  <si>
    <t xml:space="preserve">Resumo</t>
  </si>
  <si>
    <t xml:space="preserve">Principais números do ano no plano</t>
  </si>
  <si>
    <t xml:space="preserve">Mês</t>
  </si>
  <si>
    <t xml:space="preserve">Faturamento, R$</t>
  </si>
  <si>
    <t xml:space="preserve">Faturamento no ano, R$</t>
  </si>
  <si>
    <t xml:space="preserve">Lucro no ano, R$</t>
  </si>
  <si>
    <t xml:space="preserve">Faturamento médio por mês, R$</t>
  </si>
  <si>
    <t xml:space="preserve">Margem de segurança</t>
  </si>
  <si>
    <t xml:space="preserve">Meses com prejuízo</t>
  </si>
  <si>
    <t xml:space="preserve">Custo da hora da florista, R$/h</t>
  </si>
  <si>
    <t xml:space="preserve">Custos fixos, % sobre materiais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</si>
</sst>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%;\(0.0%\);\-"/>
    <numFmt numFmtId="166" formatCode="#,##0;\(#,##0\);\-"/>
    <numFmt numFmtId="167" formatCode="#,##0.0;\(#,##0.0\);\-"/>
    <numFmt numFmtId="168" formatCode="0.##"/>
    <numFmt numFmtId="169" formatCode="0.0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rgb="FF008000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E2EFDA"/>
      </patternFill>
    </fill>
    <fill>
      <patternFill patternType="solid">
        <fgColor rgb="FF5B7553"/>
        <bgColor rgb="FF666666"/>
      </patternFill>
    </fill>
    <fill>
      <patternFill patternType="solid">
        <fgColor rgb="FFE2EFDA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7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7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7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5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B7553"/>
      <rgbColor rgb="FF800080"/>
      <rgbColor rgb="FF008080"/>
      <rgbColor rgb="FFBFBFBF"/>
      <rgbColor rgb="FF878787"/>
      <rgbColor rgb="FF9999FF"/>
      <rgbColor rgb="FFC0504D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4F81BD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Faturamento e lucro por mês, R$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Resumo!E3</c:f>
              <c:strCache>
                <c:ptCount val="1"/>
                <c:pt idx="0">
                  <c:v>Faturamento, R$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Resumo!$D$4:$D$15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Resumo!$E$4:$E$15</c:f>
              <c:numCache>
                <c:formatCode>#,##0;\(#,##0\);\-</c:formatCode>
                <c:ptCount val="12"/>
                <c:pt idx="0">
                  <c:v>32731.2</c:v>
                </c:pt>
                <c:pt idx="1">
                  <c:v>32731.2</c:v>
                </c:pt>
                <c:pt idx="2">
                  <c:v>45005.4</c:v>
                </c:pt>
                <c:pt idx="3">
                  <c:v>40914</c:v>
                </c:pt>
                <c:pt idx="4">
                  <c:v>73645.2</c:v>
                </c:pt>
                <c:pt idx="5">
                  <c:v>61371</c:v>
                </c:pt>
                <c:pt idx="6">
                  <c:v>32731.2</c:v>
                </c:pt>
                <c:pt idx="7">
                  <c:v>40914</c:v>
                </c:pt>
                <c:pt idx="8">
                  <c:v>45005.4</c:v>
                </c:pt>
                <c:pt idx="9">
                  <c:v>40914</c:v>
                </c:pt>
                <c:pt idx="10">
                  <c:v>49096.8</c:v>
                </c:pt>
                <c:pt idx="11">
                  <c:v>53188.2</c:v>
                </c:pt>
              </c:numCache>
            </c:numRef>
          </c:val>
        </c:ser>
        <c:ser>
          <c:idx val="1"/>
          <c:order val="1"/>
          <c:tx>
            <c:strRef>
              <c:f>Resumo!F3</c:f>
              <c:strCache>
                <c:ptCount val="1"/>
                <c:pt idx="0">
                  <c:v>Lucro, R$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Resumo!$D$4:$D$15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Resumo!$F$4:$F$15</c:f>
              <c:numCache>
                <c:formatCode>#,##0;\(#,##0\);\-</c:formatCode>
                <c:ptCount val="12"/>
                <c:pt idx="0">
                  <c:v>287.047320261441</c:v>
                </c:pt>
                <c:pt idx="1">
                  <c:v>287.047320261441</c:v>
                </c:pt>
                <c:pt idx="2">
                  <c:v>5384.13156862745</c:v>
                </c:pt>
                <c:pt idx="3">
                  <c:v>4248.80915032679</c:v>
                </c:pt>
                <c:pt idx="4">
                  <c:v>11794.0094117647</c:v>
                </c:pt>
                <c:pt idx="5">
                  <c:v>9541.07647058824</c:v>
                </c:pt>
                <c:pt idx="6">
                  <c:v>287.047320261441</c:v>
                </c:pt>
                <c:pt idx="7">
                  <c:v>4248.80915032679</c:v>
                </c:pt>
                <c:pt idx="8">
                  <c:v>6229.69006535948</c:v>
                </c:pt>
                <c:pt idx="9">
                  <c:v>4248.80915032679</c:v>
                </c:pt>
                <c:pt idx="10">
                  <c:v>6365.71607843138</c:v>
                </c:pt>
                <c:pt idx="11">
                  <c:v>8192.85908496732</c:v>
                </c:pt>
              </c:numCache>
            </c:numRef>
          </c:val>
        </c:ser>
        <c:gapWidth val="150"/>
        <c:overlap val="0"/>
        <c:axId val="45471181"/>
        <c:axId val="29270272"/>
      </c:barChart>
      <c:catAx>
        <c:axId val="4547118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9270272"/>
        <c:crosses val="autoZero"/>
        <c:auto val="1"/>
        <c:lblAlgn val="ctr"/>
        <c:lblOffset val="100"/>
        <c:noMultiLvlLbl val="0"/>
      </c:catAx>
      <c:valAx>
        <c:axId val="2927027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₽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;\(#,##0\);\-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5471181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1</xdr:row>
      <xdr:rowOff>160560</xdr:rowOff>
    </xdr:from>
    <xdr:to>
      <xdr:col>18</xdr:col>
      <xdr:colOff>472680</xdr:colOff>
      <xdr:row>17</xdr:row>
      <xdr:rowOff>142200</xdr:rowOff>
    </xdr:to>
    <xdr:graphicFrame>
      <xdr:nvGraphicFramePr>
        <xdr:cNvPr id="0" name="Chart 1"/>
        <xdr:cNvGraphicFramePr/>
      </xdr:nvGraphicFramePr>
      <xdr:xfrm>
        <a:off x="7378200" y="379800"/>
        <a:ext cx="7199280" cy="32389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9.xml.rels><?xml version="1.0" encoding="UTF-8"?>
<Relationships xmlns="http://schemas.openxmlformats.org/package/2006/relationships"><Relationship Id="rId1" Type="http://schemas.openxmlformats.org/officeDocument/2006/relationships/comments" Target="../comments9.xml"/><Relationship Id="rId2" Type="http://schemas.openxmlformats.org/officeDocument/2006/relationships/vmlDrawing" Target="../drawings/vmlDrawing1.v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0"/>
    <col collapsed="false" customWidth="true" hidden="false" outlineLevel="0" max="2" min="2" style="1" width="95"/>
  </cols>
  <sheetData>
    <row r="1" customFormat="false" ht="17.25" hidden="false" customHeight="true" outlineLevel="0" collapsed="false">
      <c r="A1" s="2" t="s">
        <v>0</v>
      </c>
    </row>
    <row r="3" customFormat="false" ht="15" hidden="false" customHeight="true" outlineLevel="0" collapsed="false">
      <c r="A3" s="3" t="s">
        <v>1</v>
      </c>
    </row>
    <row r="4" customFormat="false" ht="15" hidden="false" customHeight="true" outlineLevel="0" collapsed="false">
      <c r="A4" s="4" t="s">
        <v>2</v>
      </c>
      <c r="B4" s="4" t="s">
        <v>3</v>
      </c>
    </row>
    <row r="5" customFormat="false" ht="15" hidden="false" customHeight="true" outlineLevel="0" collapsed="false">
      <c r="A5" s="4" t="s">
        <v>4</v>
      </c>
      <c r="B5" s="4" t="s">
        <v>5</v>
      </c>
    </row>
    <row r="6" customFormat="false" ht="15" hidden="false" customHeight="true" outlineLevel="0" collapsed="false">
      <c r="A6" s="4" t="s">
        <v>6</v>
      </c>
      <c r="B6" s="4" t="s">
        <v>7</v>
      </c>
    </row>
    <row r="7" customFormat="false" ht="15" hidden="false" customHeight="true" outlineLevel="0" collapsed="false">
      <c r="A7" s="4" t="s">
        <v>8</v>
      </c>
      <c r="B7" s="4" t="s">
        <v>9</v>
      </c>
    </row>
    <row r="8" customFormat="false" ht="15" hidden="false" customHeight="true" outlineLevel="0" collapsed="false">
      <c r="A8" s="4" t="s">
        <v>10</v>
      </c>
      <c r="B8" s="4" t="s">
        <v>11</v>
      </c>
    </row>
    <row r="9" customFormat="false" ht="15" hidden="false" customHeight="true" outlineLevel="0" collapsed="false">
      <c r="A9" s="4" t="s">
        <v>12</v>
      </c>
      <c r="B9" s="4" t="s">
        <v>13</v>
      </c>
    </row>
    <row r="10" customFormat="false" ht="15" hidden="false" customHeight="true" outlineLevel="0" collapsed="false">
      <c r="A10" s="4" t="s">
        <v>14</v>
      </c>
      <c r="B10" s="4" t="s">
        <v>15</v>
      </c>
    </row>
    <row r="11" customFormat="false" ht="15" hidden="false" customHeight="true" outlineLevel="0" collapsed="false">
      <c r="A11" s="4" t="s">
        <v>16</v>
      </c>
      <c r="B11" s="4" t="s">
        <v>17</v>
      </c>
    </row>
    <row r="12" customFormat="false" ht="15" hidden="false" customHeight="true" outlineLevel="0" collapsed="false">
      <c r="A12" s="4" t="s">
        <v>18</v>
      </c>
      <c r="B12" s="4" t="s">
        <v>19</v>
      </c>
    </row>
    <row r="14" customFormat="false" ht="15" hidden="false" customHeight="true" outlineLevel="0" collapsed="false">
      <c r="A14" s="3" t="s">
        <v>20</v>
      </c>
    </row>
    <row r="15" customFormat="false" ht="15" hidden="false" customHeight="true" outlineLevel="0" collapsed="false">
      <c r="A15" s="5" t="s">
        <v>21</v>
      </c>
      <c r="B15" s="4" t="s">
        <v>22</v>
      </c>
    </row>
    <row r="16" customFormat="false" ht="15" hidden="false" customHeight="true" outlineLevel="0" collapsed="false">
      <c r="A16" s="4" t="s">
        <v>23</v>
      </c>
      <c r="B16" s="4" t="s">
        <v>24</v>
      </c>
    </row>
    <row r="17" customFormat="false" ht="15" hidden="false" customHeight="true" outlineLevel="0" collapsed="false">
      <c r="A17" s="6" t="s">
        <v>25</v>
      </c>
      <c r="B17" s="4" t="s">
        <v>26</v>
      </c>
    </row>
    <row r="19" customFormat="false" ht="26.25" hidden="false" customHeight="true" outlineLevel="0" collapsed="false">
      <c r="A19" s="3" t="s">
        <v>27</v>
      </c>
      <c r="B19" s="7" t="s">
        <v>28</v>
      </c>
    </row>
    <row r="21" customFormat="false" ht="26.25" hidden="false" customHeight="true" outlineLevel="0" collapsed="false">
      <c r="A21" s="3" t="s">
        <v>29</v>
      </c>
      <c r="B21" s="7" t="s">
        <v>30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6"/>
    <col collapsed="false" customWidth="true" hidden="false" outlineLevel="0" max="2" min="2" style="1" width="14"/>
    <col collapsed="false" customWidth="true" hidden="false" outlineLevel="0" max="3" min="3" style="1" width="80"/>
  </cols>
  <sheetData>
    <row r="1" customFormat="false" ht="17.25" hidden="false" customHeight="true" outlineLevel="0" collapsed="false">
      <c r="A1" s="2" t="s">
        <v>31</v>
      </c>
    </row>
    <row r="2" customFormat="false" ht="15" hidden="false" customHeight="true" outlineLevel="0" collapsed="false">
      <c r="A2" s="8" t="s">
        <v>32</v>
      </c>
    </row>
    <row r="3" customFormat="false" ht="31.5" hidden="false" customHeight="true" outlineLevel="0" collapsed="false">
      <c r="A3" s="9" t="s">
        <v>33</v>
      </c>
      <c r="B3" s="9" t="s">
        <v>34</v>
      </c>
      <c r="C3" s="9" t="s">
        <v>35</v>
      </c>
    </row>
    <row r="4" customFormat="false" ht="15" hidden="false" customHeight="true" outlineLevel="0" collapsed="false">
      <c r="A4" s="4" t="s">
        <v>36</v>
      </c>
      <c r="B4" s="10" t="n">
        <v>0.07</v>
      </c>
      <c r="C4" s="8" t="s">
        <v>37</v>
      </c>
    </row>
    <row r="5" customFormat="false" ht="15" hidden="false" customHeight="true" outlineLevel="0" collapsed="false">
      <c r="A5" s="4" t="s">
        <v>38</v>
      </c>
      <c r="B5" s="10" t="n">
        <v>0.03</v>
      </c>
      <c r="C5" s="8" t="s">
        <v>39</v>
      </c>
    </row>
    <row r="6" customFormat="false" ht="15" hidden="false" customHeight="true" outlineLevel="0" collapsed="false">
      <c r="A6" s="4" t="s">
        <v>40</v>
      </c>
      <c r="B6" s="10" t="n">
        <v>0</v>
      </c>
      <c r="C6" s="8" t="s">
        <v>41</v>
      </c>
    </row>
    <row r="7" customFormat="false" ht="15" hidden="false" customHeight="true" outlineLevel="0" collapsed="false">
      <c r="A7" s="4" t="s">
        <v>42</v>
      </c>
      <c r="B7" s="10" t="n">
        <v>0</v>
      </c>
      <c r="C7" s="8" t="s">
        <v>43</v>
      </c>
    </row>
    <row r="8" customFormat="false" ht="15" hidden="false" customHeight="true" outlineLevel="0" collapsed="false">
      <c r="A8" s="4" t="s">
        <v>44</v>
      </c>
      <c r="B8" s="10" t="n">
        <v>0.2</v>
      </c>
      <c r="C8" s="8" t="s">
        <v>45</v>
      </c>
    </row>
    <row r="9" customFormat="false" ht="15" hidden="false" customHeight="true" outlineLevel="0" collapsed="false">
      <c r="A9" s="4" t="s">
        <v>46</v>
      </c>
      <c r="B9" s="11" t="n">
        <v>5</v>
      </c>
      <c r="C9" s="8" t="s">
        <v>47</v>
      </c>
    </row>
    <row r="10" customFormat="false" ht="15" hidden="false" customHeight="true" outlineLevel="0" collapsed="false">
      <c r="A10" s="3" t="s">
        <v>48</v>
      </c>
      <c r="B10" s="12" t="n">
        <f aca="false">B4+B5+B6+B7</f>
        <v>0.1</v>
      </c>
      <c r="C10" s="8" t="s">
        <v>49</v>
      </c>
    </row>
    <row r="12" customFormat="false" ht="15" hidden="false" customHeight="true" outlineLevel="0" collapsed="false">
      <c r="A12" s="3" t="s">
        <v>50</v>
      </c>
    </row>
    <row r="13" customFormat="false" ht="15" hidden="false" customHeight="true" outlineLevel="0" collapsed="false">
      <c r="A13" s="4" t="s">
        <v>51</v>
      </c>
      <c r="B13" s="11" t="n">
        <v>220</v>
      </c>
      <c r="C13" s="8" t="s">
        <v>52</v>
      </c>
    </row>
    <row r="14" customFormat="false" ht="15" hidden="false" customHeight="true" outlineLevel="0" collapsed="false">
      <c r="A14" s="4" t="s">
        <v>53</v>
      </c>
      <c r="B14" s="10" t="n">
        <v>0.5</v>
      </c>
      <c r="C14" s="8" t="s">
        <v>54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8"/>
    <col collapsed="false" customWidth="true" hidden="false" outlineLevel="0" max="2" min="2" style="1" width="8"/>
    <col collapsed="false" customWidth="true" hidden="false" outlineLevel="0" max="3" min="3" style="1" width="12"/>
    <col collapsed="false" customWidth="true" hidden="false" outlineLevel="0" max="4" min="4" style="1" width="14"/>
    <col collapsed="false" customWidth="true" hidden="false" outlineLevel="0" max="5" min="5" style="1" width="16"/>
    <col collapsed="false" customWidth="true" hidden="false" outlineLevel="0" max="6" min="6" style="1" width="14"/>
    <col collapsed="false" customWidth="true" hidden="false" outlineLevel="0" max="7" min="7" style="1" width="12"/>
    <col collapsed="false" customWidth="true" hidden="false" outlineLevel="0" max="8" min="8" style="1" width="16"/>
  </cols>
  <sheetData>
    <row r="1" customFormat="false" ht="17.25" hidden="false" customHeight="true" outlineLevel="0" collapsed="false">
      <c r="A1" s="2" t="s">
        <v>55</v>
      </c>
    </row>
    <row r="2" customFormat="false" ht="15" hidden="false" customHeight="true" outlineLevel="0" collapsed="false">
      <c r="A2" s="8" t="s">
        <v>56</v>
      </c>
    </row>
    <row r="4" customFormat="false" ht="31.5" hidden="false" customHeight="true" outlineLevel="0" collapsed="false">
      <c r="A4" s="9" t="s">
        <v>57</v>
      </c>
      <c r="B4" s="9" t="s">
        <v>58</v>
      </c>
      <c r="C4" s="9" t="s">
        <v>59</v>
      </c>
      <c r="D4" s="9" t="s">
        <v>60</v>
      </c>
      <c r="E4" s="9" t="s">
        <v>61</v>
      </c>
      <c r="F4" s="9" t="s">
        <v>62</v>
      </c>
      <c r="G4" s="9" t="s">
        <v>63</v>
      </c>
      <c r="H4" s="9" t="s">
        <v>64</v>
      </c>
    </row>
    <row r="5" customFormat="false" ht="15" hidden="false" customHeight="true" outlineLevel="0" collapsed="false">
      <c r="A5" s="13" t="s">
        <v>65</v>
      </c>
      <c r="B5" s="13" t="s">
        <v>66</v>
      </c>
      <c r="C5" s="11" t="n">
        <v>20</v>
      </c>
      <c r="D5" s="11" t="n">
        <v>70</v>
      </c>
      <c r="E5" s="11" t="n">
        <v>5</v>
      </c>
      <c r="F5" s="14" t="n">
        <f aca="false">IF(OR(A5="",C5=0),"",(D5+E5)/C5)</f>
        <v>3.75</v>
      </c>
      <c r="G5" s="10" t="n">
        <v>0.15</v>
      </c>
      <c r="H5" s="14" t="n">
        <f aca="false">IF(F5="","",F5/(1-G5))</f>
        <v>4.41176470588235</v>
      </c>
    </row>
    <row r="6" customFormat="false" ht="15" hidden="false" customHeight="true" outlineLevel="0" collapsed="false">
      <c r="A6" s="13" t="s">
        <v>67</v>
      </c>
      <c r="B6" s="13" t="s">
        <v>66</v>
      </c>
      <c r="C6" s="11" t="n">
        <v>20</v>
      </c>
      <c r="D6" s="11" t="n">
        <v>45</v>
      </c>
      <c r="E6" s="11" t="n">
        <v>5</v>
      </c>
      <c r="F6" s="14" t="n">
        <f aca="false">IF(OR(A6="",C6=0),"",(D6+E6)/C6)</f>
        <v>2.5</v>
      </c>
      <c r="G6" s="10" t="n">
        <v>0.15</v>
      </c>
      <c r="H6" s="14" t="n">
        <f aca="false">IF(F6="","",F6/(1-G6))</f>
        <v>2.94117647058824</v>
      </c>
    </row>
    <row r="7" customFormat="false" ht="15" hidden="false" customHeight="true" outlineLevel="0" collapsed="false">
      <c r="A7" s="13" t="s">
        <v>68</v>
      </c>
      <c r="B7" s="13" t="s">
        <v>66</v>
      </c>
      <c r="C7" s="11" t="n">
        <v>10</v>
      </c>
      <c r="D7" s="11" t="n">
        <v>45</v>
      </c>
      <c r="E7" s="11" t="n">
        <v>5</v>
      </c>
      <c r="F7" s="14" t="n">
        <f aca="false">IF(OR(A7="",C7=0),"",(D7+E7)/C7)</f>
        <v>5</v>
      </c>
      <c r="G7" s="10" t="n">
        <v>0.1</v>
      </c>
      <c r="H7" s="14" t="n">
        <f aca="false">IF(F7="","",F7/(1-G7))</f>
        <v>5.55555555555556</v>
      </c>
    </row>
    <row r="8" customFormat="false" ht="15" hidden="false" customHeight="true" outlineLevel="0" collapsed="false">
      <c r="A8" s="13" t="s">
        <v>69</v>
      </c>
      <c r="B8" s="13" t="s">
        <v>66</v>
      </c>
      <c r="C8" s="11" t="n">
        <v>10</v>
      </c>
      <c r="D8" s="11" t="n">
        <v>30</v>
      </c>
      <c r="E8" s="11" t="n">
        <v>3</v>
      </c>
      <c r="F8" s="14" t="n">
        <f aca="false">IF(OR(A8="",C8=0),"",(D8+E8)/C8)</f>
        <v>3.3</v>
      </c>
      <c r="G8" s="10" t="n">
        <v>0.12</v>
      </c>
      <c r="H8" s="14" t="n">
        <f aca="false">IF(F8="","",F8/(1-G8))</f>
        <v>3.75</v>
      </c>
    </row>
    <row r="9" customFormat="false" ht="15" hidden="false" customHeight="true" outlineLevel="0" collapsed="false">
      <c r="A9" s="13" t="s">
        <v>70</v>
      </c>
      <c r="B9" s="13" t="s">
        <v>66</v>
      </c>
      <c r="C9" s="11" t="n">
        <v>10</v>
      </c>
      <c r="D9" s="11" t="n">
        <v>90</v>
      </c>
      <c r="E9" s="11" t="n">
        <v>5</v>
      </c>
      <c r="F9" s="14" t="n">
        <f aca="false">IF(OR(A9="",C9=0),"",(D9+E9)/C9)</f>
        <v>9.5</v>
      </c>
      <c r="G9" s="10" t="n">
        <v>0.2</v>
      </c>
      <c r="H9" s="14" t="n">
        <f aca="false">IF(F9="","",F9/(1-G9))</f>
        <v>11.875</v>
      </c>
    </row>
    <row r="10" customFormat="false" ht="15" hidden="false" customHeight="true" outlineLevel="0" collapsed="false">
      <c r="A10" s="13" t="s">
        <v>71</v>
      </c>
      <c r="B10" s="13" t="s">
        <v>72</v>
      </c>
      <c r="C10" s="11" t="n">
        <v>10</v>
      </c>
      <c r="D10" s="11" t="n">
        <v>25</v>
      </c>
      <c r="E10" s="11" t="n">
        <v>3</v>
      </c>
      <c r="F10" s="14" t="n">
        <f aca="false">IF(OR(A10="",C10=0),"",(D10+E10)/C10)</f>
        <v>2.8</v>
      </c>
      <c r="G10" s="10" t="n">
        <v>0.1</v>
      </c>
      <c r="H10" s="14" t="n">
        <f aca="false">IF(F10="","",F10/(1-G10))</f>
        <v>3.11111111111111</v>
      </c>
    </row>
    <row r="11" customFormat="false" ht="15" hidden="false" customHeight="true" outlineLevel="0" collapsed="false">
      <c r="A11" s="13" t="s">
        <v>73</v>
      </c>
      <c r="B11" s="13" t="s">
        <v>72</v>
      </c>
      <c r="C11" s="11" t="n">
        <v>10</v>
      </c>
      <c r="D11" s="11" t="n">
        <v>15</v>
      </c>
      <c r="E11" s="11" t="n">
        <v>2</v>
      </c>
      <c r="F11" s="14" t="n">
        <f aca="false">IF(OR(A11="",C11=0),"",(D11+E11)/C11)</f>
        <v>1.7</v>
      </c>
      <c r="G11" s="10" t="n">
        <v>0.1</v>
      </c>
      <c r="H11" s="14" t="n">
        <f aca="false">IF(F11="","",F11/(1-G11))</f>
        <v>1.88888888888889</v>
      </c>
    </row>
    <row r="12" customFormat="false" ht="15" hidden="false" customHeight="true" outlineLevel="0" collapsed="false">
      <c r="A12" s="13" t="s">
        <v>74</v>
      </c>
      <c r="B12" s="13" t="s">
        <v>72</v>
      </c>
      <c r="C12" s="11" t="n">
        <v>10</v>
      </c>
      <c r="D12" s="11" t="n">
        <v>35</v>
      </c>
      <c r="E12" s="11" t="n">
        <v>3</v>
      </c>
      <c r="F12" s="14" t="n">
        <f aca="false">IF(OR(A12="",C12=0),"",(D12+E12)/C12)</f>
        <v>3.8</v>
      </c>
      <c r="G12" s="10" t="n">
        <v>0.15</v>
      </c>
      <c r="H12" s="14" t="n">
        <f aca="false">IF(F12="","",F12/(1-G12))</f>
        <v>4.47058823529412</v>
      </c>
    </row>
    <row r="13" customFormat="false" ht="15" hidden="false" customHeight="true" outlineLevel="0" collapsed="false">
      <c r="A13" s="13"/>
      <c r="B13" s="13"/>
      <c r="C13" s="11"/>
      <c r="D13" s="11"/>
      <c r="E13" s="11"/>
      <c r="F13" s="14" t="str">
        <f aca="false">IF(OR(A13="",C13=0),"",(D13+E13)/C13)</f>
        <v/>
      </c>
      <c r="G13" s="10"/>
      <c r="H13" s="14" t="str">
        <f aca="false">IF(F13="","",F13/(1-G13))</f>
        <v/>
      </c>
    </row>
    <row r="14" customFormat="false" ht="15" hidden="false" customHeight="true" outlineLevel="0" collapsed="false">
      <c r="A14" s="13"/>
      <c r="B14" s="13"/>
      <c r="C14" s="11"/>
      <c r="D14" s="11"/>
      <c r="E14" s="11"/>
      <c r="F14" s="14" t="str">
        <f aca="false">IF(OR(A14="",C14=0),"",(D14+E14)/C14)</f>
        <v/>
      </c>
      <c r="G14" s="10"/>
      <c r="H14" s="14" t="str">
        <f aca="false">IF(F14="","",F14/(1-G14))</f>
        <v/>
      </c>
    </row>
    <row r="15" customFormat="false" ht="15" hidden="false" customHeight="true" outlineLevel="0" collapsed="false">
      <c r="A15" s="13"/>
      <c r="B15" s="13"/>
      <c r="C15" s="11"/>
      <c r="D15" s="11"/>
      <c r="E15" s="11"/>
      <c r="F15" s="14" t="str">
        <f aca="false">IF(OR(A15="",C15=0),"",(D15+E15)/C15)</f>
        <v/>
      </c>
      <c r="G15" s="10"/>
      <c r="H15" s="14" t="str">
        <f aca="false">IF(F15="","",F15/(1-G15))</f>
        <v/>
      </c>
    </row>
    <row r="16" customFormat="false" ht="15" hidden="false" customHeight="true" outlineLevel="0" collapsed="false">
      <c r="A16" s="13"/>
      <c r="B16" s="13"/>
      <c r="C16" s="11"/>
      <c r="D16" s="11"/>
      <c r="E16" s="11"/>
      <c r="F16" s="14" t="str">
        <f aca="false">IF(OR(A16="",C16=0),"",(D16+E16)/C16)</f>
        <v/>
      </c>
      <c r="G16" s="10"/>
      <c r="H16" s="14" t="str">
        <f aca="false">IF(F16="","",F16/(1-G16))</f>
        <v/>
      </c>
    </row>
    <row r="17" customFormat="false" ht="15" hidden="false" customHeight="true" outlineLevel="0" collapsed="false">
      <c r="A17" s="13"/>
      <c r="B17" s="13"/>
      <c r="C17" s="11"/>
      <c r="D17" s="11"/>
      <c r="E17" s="11"/>
      <c r="F17" s="14" t="str">
        <f aca="false">IF(OR(A17="",C17=0),"",(D17+E17)/C17)</f>
        <v/>
      </c>
      <c r="G17" s="10"/>
      <c r="H17" s="14" t="str">
        <f aca="false">IF(F17="","",F17/(1-G17))</f>
        <v/>
      </c>
    </row>
    <row r="18" customFormat="false" ht="15" hidden="false" customHeight="true" outlineLevel="0" collapsed="false">
      <c r="A18" s="13"/>
      <c r="B18" s="13"/>
      <c r="C18" s="11"/>
      <c r="D18" s="11"/>
      <c r="E18" s="11"/>
      <c r="F18" s="14" t="str">
        <f aca="false">IF(OR(A18="",C18=0),"",(D18+E18)/C18)</f>
        <v/>
      </c>
      <c r="G18" s="10"/>
      <c r="H18" s="14" t="str">
        <f aca="false">IF(F18="","",F18/(1-G18))</f>
        <v/>
      </c>
    </row>
    <row r="19" customFormat="false" ht="15" hidden="false" customHeight="true" outlineLevel="0" collapsed="false">
      <c r="A19" s="13"/>
      <c r="B19" s="13"/>
      <c r="C19" s="11"/>
      <c r="D19" s="11"/>
      <c r="E19" s="11"/>
      <c r="F19" s="14" t="str">
        <f aca="false">IF(OR(A19="",C19=0),"",(D19+E19)/C19)</f>
        <v/>
      </c>
      <c r="G19" s="10"/>
      <c r="H19" s="14" t="str">
        <f aca="false">IF(F19="","",F19/(1-G19))</f>
        <v/>
      </c>
    </row>
    <row r="20" customFormat="false" ht="15" hidden="false" customHeight="true" outlineLevel="0" collapsed="false">
      <c r="A20" s="13"/>
      <c r="B20" s="13"/>
      <c r="C20" s="11"/>
      <c r="D20" s="11"/>
      <c r="E20" s="11"/>
      <c r="F20" s="14" t="str">
        <f aca="false">IF(OR(A20="",C20=0),"",(D20+E20)/C20)</f>
        <v/>
      </c>
      <c r="G20" s="10"/>
      <c r="H20" s="14" t="str">
        <f aca="false">IF(F20="","",F20/(1-G20))</f>
        <v/>
      </c>
    </row>
    <row r="21" customFormat="false" ht="15" hidden="false" customHeight="true" outlineLevel="0" collapsed="false">
      <c r="A21" s="13"/>
      <c r="B21" s="13"/>
      <c r="C21" s="11"/>
      <c r="D21" s="11"/>
      <c r="E21" s="11"/>
      <c r="F21" s="14" t="str">
        <f aca="false">IF(OR(A21="",C21=0),"",(D21+E21)/C21)</f>
        <v/>
      </c>
      <c r="G21" s="10"/>
      <c r="H21" s="14" t="str">
        <f aca="false">IF(F21="","",F21/(1-G21))</f>
        <v/>
      </c>
    </row>
    <row r="22" customFormat="false" ht="15" hidden="false" customHeight="true" outlineLevel="0" collapsed="false">
      <c r="A22" s="13"/>
      <c r="B22" s="13"/>
      <c r="C22" s="11"/>
      <c r="D22" s="11"/>
      <c r="E22" s="11"/>
      <c r="F22" s="14" t="str">
        <f aca="false">IF(OR(A22="",C22=0),"",(D22+E22)/C22)</f>
        <v/>
      </c>
      <c r="G22" s="10"/>
      <c r="H22" s="14" t="str">
        <f aca="false">IF(F22="","",F22/(1-G22))</f>
        <v/>
      </c>
    </row>
    <row r="23" customFormat="false" ht="15" hidden="false" customHeight="true" outlineLevel="0" collapsed="false">
      <c r="A23" s="13"/>
      <c r="B23" s="13"/>
      <c r="C23" s="11"/>
      <c r="D23" s="11"/>
      <c r="E23" s="11"/>
      <c r="F23" s="14" t="str">
        <f aca="false">IF(OR(A23="",C23=0),"",(D23+E23)/C23)</f>
        <v/>
      </c>
      <c r="G23" s="10"/>
      <c r="H23" s="14" t="str">
        <f aca="false">IF(F23="","",F23/(1-G23))</f>
        <v/>
      </c>
    </row>
    <row r="24" customFormat="false" ht="15" hidden="false" customHeight="true" outlineLevel="0" collapsed="false">
      <c r="A24" s="13"/>
      <c r="B24" s="13"/>
      <c r="C24" s="11"/>
      <c r="D24" s="11"/>
      <c r="E24" s="11"/>
      <c r="F24" s="14" t="str">
        <f aca="false">IF(OR(A24="",C24=0),"",(D24+E24)/C24)</f>
        <v/>
      </c>
      <c r="G24" s="10"/>
      <c r="H24" s="14" t="str">
        <f aca="false">IF(F24="","",F24/(1-G24))</f>
        <v/>
      </c>
    </row>
    <row r="25" customFormat="false" ht="15" hidden="false" customHeight="true" outlineLevel="0" collapsed="false">
      <c r="A25" s="13"/>
      <c r="B25" s="13"/>
      <c r="C25" s="11"/>
      <c r="D25" s="11"/>
      <c r="E25" s="11"/>
      <c r="F25" s="14" t="str">
        <f aca="false">IF(OR(A25="",C25=0),"",(D25+E25)/C25)</f>
        <v/>
      </c>
      <c r="G25" s="10"/>
      <c r="H25" s="14" t="str">
        <f aca="false">IF(F25="","",F25/(1-G25))</f>
        <v/>
      </c>
    </row>
    <row r="26" customFormat="false" ht="15" hidden="false" customHeight="true" outlineLevel="0" collapsed="false">
      <c r="A26" s="13"/>
      <c r="B26" s="13"/>
      <c r="C26" s="11"/>
      <c r="D26" s="11"/>
      <c r="E26" s="11"/>
      <c r="F26" s="14" t="str">
        <f aca="false">IF(OR(A26="",C26=0),"",(D26+E26)/C26)</f>
        <v/>
      </c>
      <c r="G26" s="10"/>
      <c r="H26" s="14" t="str">
        <f aca="false">IF(F26="","",F26/(1-G26))</f>
        <v/>
      </c>
    </row>
    <row r="27" customFormat="false" ht="15" hidden="false" customHeight="true" outlineLevel="0" collapsed="false">
      <c r="A27" s="13"/>
      <c r="B27" s="13"/>
      <c r="C27" s="11"/>
      <c r="D27" s="11"/>
      <c r="E27" s="11"/>
      <c r="F27" s="14" t="str">
        <f aca="false">IF(OR(A27="",C27=0),"",(D27+E27)/C27)</f>
        <v/>
      </c>
      <c r="G27" s="10"/>
      <c r="H27" s="14" t="str">
        <f aca="false">IF(F27="","",F27/(1-G27))</f>
        <v/>
      </c>
    </row>
    <row r="28" customFormat="false" ht="15" hidden="false" customHeight="true" outlineLevel="0" collapsed="false">
      <c r="A28" s="13"/>
      <c r="B28" s="13"/>
      <c r="C28" s="11"/>
      <c r="D28" s="11"/>
      <c r="E28" s="11"/>
      <c r="F28" s="14" t="str">
        <f aca="false">IF(OR(A28="",C28=0),"",(D28+E28)/C28)</f>
        <v/>
      </c>
      <c r="G28" s="10"/>
      <c r="H28" s="14" t="str">
        <f aca="false">IF(F28="","",F28/(1-G28))</f>
        <v/>
      </c>
    </row>
    <row r="29" customFormat="false" ht="15" hidden="false" customHeight="true" outlineLevel="0" collapsed="false">
      <c r="A29" s="13"/>
      <c r="B29" s="13"/>
      <c r="C29" s="11"/>
      <c r="D29" s="11"/>
      <c r="E29" s="11"/>
      <c r="F29" s="14" t="str">
        <f aca="false">IF(OR(A29="",C29=0),"",(D29+E29)/C29)</f>
        <v/>
      </c>
      <c r="G29" s="10"/>
      <c r="H29" s="14" t="str">
        <f aca="false">IF(F29="","",F29/(1-G29))</f>
        <v/>
      </c>
    </row>
    <row r="30" customFormat="false" ht="15" hidden="false" customHeight="true" outlineLevel="0" collapsed="false">
      <c r="A30" s="13"/>
      <c r="B30" s="13"/>
      <c r="C30" s="11"/>
      <c r="D30" s="11"/>
      <c r="E30" s="11"/>
      <c r="F30" s="14" t="str">
        <f aca="false">IF(OR(A30="",C30=0),"",(D30+E30)/C30)</f>
        <v/>
      </c>
      <c r="G30" s="10"/>
      <c r="H30" s="14" t="str">
        <f aca="false">IF(F30="","",F30/(1-G30))</f>
        <v/>
      </c>
    </row>
    <row r="31" customFormat="false" ht="15" hidden="false" customHeight="true" outlineLevel="0" collapsed="false">
      <c r="A31" s="13"/>
      <c r="B31" s="13"/>
      <c r="C31" s="11"/>
      <c r="D31" s="11"/>
      <c r="E31" s="11"/>
      <c r="F31" s="14" t="str">
        <f aca="false">IF(OR(A31="",C31=0),"",(D31+E31)/C31)</f>
        <v/>
      </c>
      <c r="G31" s="10"/>
      <c r="H31" s="14" t="str">
        <f aca="false">IF(F31="","",F31/(1-G31))</f>
        <v/>
      </c>
    </row>
    <row r="32" customFormat="false" ht="15" hidden="false" customHeight="true" outlineLevel="0" collapsed="false">
      <c r="A32" s="13"/>
      <c r="B32" s="13"/>
      <c r="C32" s="11"/>
      <c r="D32" s="11"/>
      <c r="E32" s="11"/>
      <c r="F32" s="14" t="str">
        <f aca="false">IF(OR(A32="",C32=0),"",(D32+E32)/C32)</f>
        <v/>
      </c>
      <c r="G32" s="10"/>
      <c r="H32" s="14" t="str">
        <f aca="false">IF(F32="","",F32/(1-G32))</f>
        <v/>
      </c>
    </row>
    <row r="33" customFormat="false" ht="15" hidden="false" customHeight="true" outlineLevel="0" collapsed="false">
      <c r="A33" s="13"/>
      <c r="B33" s="13"/>
      <c r="C33" s="11"/>
      <c r="D33" s="11"/>
      <c r="E33" s="11"/>
      <c r="F33" s="14" t="str">
        <f aca="false">IF(OR(A33="",C33=0),"",(D33+E33)/C33)</f>
        <v/>
      </c>
      <c r="G33" s="10"/>
      <c r="H33" s="14" t="str">
        <f aca="false">IF(F33="","",F33/(1-G33))</f>
        <v/>
      </c>
    </row>
    <row r="34" customFormat="false" ht="15" hidden="false" customHeight="true" outlineLevel="0" collapsed="false">
      <c r="A34" s="13"/>
      <c r="B34" s="13"/>
      <c r="C34" s="11"/>
      <c r="D34" s="11"/>
      <c r="E34" s="11"/>
      <c r="F34" s="14" t="str">
        <f aca="false">IF(OR(A34="",C34=0),"",(D34+E34)/C34)</f>
        <v/>
      </c>
      <c r="G34" s="10"/>
      <c r="H34" s="14" t="str">
        <f aca="false">IF(F34="","",F34/(1-G34))</f>
        <v/>
      </c>
    </row>
    <row r="36" customFormat="false" ht="15" hidden="false" customHeight="true" outlineLevel="0" collapsed="false">
      <c r="A36" s="8" t="s">
        <v>75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0"/>
    <col collapsed="false" customWidth="true" hidden="false" outlineLevel="0" max="2" min="2" style="1" width="8"/>
    <col collapsed="false" customWidth="true" hidden="false" outlineLevel="0" max="3" min="3" style="1" width="14"/>
  </cols>
  <sheetData>
    <row r="1" customFormat="false" ht="17.25" hidden="false" customHeight="true" outlineLevel="0" collapsed="false">
      <c r="A1" s="2" t="s">
        <v>76</v>
      </c>
    </row>
    <row r="2" customFormat="false" ht="15" hidden="false" customHeight="true" outlineLevel="0" collapsed="false">
      <c r="A2" s="8" t="s">
        <v>77</v>
      </c>
    </row>
    <row r="4" customFormat="false" ht="31.5" hidden="false" customHeight="true" outlineLevel="0" collapsed="false">
      <c r="A4" s="9" t="s">
        <v>57</v>
      </c>
      <c r="B4" s="9" t="s">
        <v>58</v>
      </c>
      <c r="C4" s="9" t="s">
        <v>62</v>
      </c>
    </row>
    <row r="5" customFormat="false" ht="15" hidden="false" customHeight="true" outlineLevel="0" collapsed="false">
      <c r="A5" s="13" t="s">
        <v>78</v>
      </c>
      <c r="B5" s="13" t="s">
        <v>79</v>
      </c>
      <c r="C5" s="15" t="n">
        <v>2.5</v>
      </c>
    </row>
    <row r="6" customFormat="false" ht="15" hidden="false" customHeight="true" outlineLevel="0" collapsed="false">
      <c r="A6" s="13" t="s">
        <v>80</v>
      </c>
      <c r="B6" s="13" t="s">
        <v>66</v>
      </c>
      <c r="C6" s="15" t="n">
        <v>0.8</v>
      </c>
    </row>
    <row r="7" customFormat="false" ht="15" hidden="false" customHeight="true" outlineLevel="0" collapsed="false">
      <c r="A7" s="13" t="s">
        <v>81</v>
      </c>
      <c r="B7" s="13" t="s">
        <v>66</v>
      </c>
      <c r="C7" s="15" t="n">
        <v>3</v>
      </c>
    </row>
    <row r="8" customFormat="false" ht="15" hidden="false" customHeight="true" outlineLevel="0" collapsed="false">
      <c r="A8" s="13" t="s">
        <v>82</v>
      </c>
      <c r="B8" s="13" t="s">
        <v>66</v>
      </c>
      <c r="C8" s="15" t="n">
        <v>1.5</v>
      </c>
    </row>
    <row r="9" customFormat="false" ht="15" hidden="false" customHeight="true" outlineLevel="0" collapsed="false">
      <c r="A9" s="13" t="s">
        <v>83</v>
      </c>
      <c r="B9" s="13" t="s">
        <v>66</v>
      </c>
      <c r="C9" s="15" t="n">
        <v>1.5</v>
      </c>
    </row>
    <row r="10" customFormat="false" ht="15" hidden="false" customHeight="true" outlineLevel="0" collapsed="false">
      <c r="A10" s="13" t="s">
        <v>84</v>
      </c>
      <c r="B10" s="13" t="s">
        <v>66</v>
      </c>
      <c r="C10" s="15" t="n">
        <v>18</v>
      </c>
    </row>
    <row r="11" customFormat="false" ht="15" hidden="false" customHeight="true" outlineLevel="0" collapsed="false">
      <c r="A11" s="13" t="s">
        <v>85</v>
      </c>
      <c r="B11" s="13" t="s">
        <v>66</v>
      </c>
      <c r="C11" s="15" t="n">
        <v>6</v>
      </c>
    </row>
    <row r="12" customFormat="false" ht="15" hidden="false" customHeight="true" outlineLevel="0" collapsed="false">
      <c r="A12" s="13" t="s">
        <v>86</v>
      </c>
      <c r="B12" s="13" t="s">
        <v>66</v>
      </c>
      <c r="C12" s="15" t="n">
        <v>4</v>
      </c>
    </row>
    <row r="13" customFormat="false" ht="15" hidden="false" customHeight="true" outlineLevel="0" collapsed="false">
      <c r="A13" s="13"/>
      <c r="B13" s="13"/>
      <c r="C13" s="15"/>
    </row>
    <row r="14" customFormat="false" ht="15" hidden="false" customHeight="true" outlineLevel="0" collapsed="false">
      <c r="A14" s="13"/>
      <c r="B14" s="13"/>
      <c r="C14" s="15"/>
    </row>
    <row r="15" customFormat="false" ht="15" hidden="false" customHeight="true" outlineLevel="0" collapsed="false">
      <c r="A15" s="13"/>
      <c r="B15" s="13"/>
      <c r="C15" s="15"/>
    </row>
    <row r="16" customFormat="false" ht="15" hidden="false" customHeight="true" outlineLevel="0" collapsed="false">
      <c r="A16" s="13"/>
      <c r="B16" s="13"/>
      <c r="C16" s="15"/>
    </row>
    <row r="17" customFormat="false" ht="15" hidden="false" customHeight="true" outlineLevel="0" collapsed="false">
      <c r="A17" s="13"/>
      <c r="B17" s="13"/>
      <c r="C17" s="15"/>
    </row>
    <row r="18" customFormat="false" ht="15" hidden="false" customHeight="true" outlineLevel="0" collapsed="false">
      <c r="A18" s="13"/>
      <c r="B18" s="13"/>
      <c r="C18" s="15"/>
    </row>
    <row r="19" customFormat="false" ht="15" hidden="false" customHeight="true" outlineLevel="0" collapsed="false">
      <c r="A19" s="13"/>
      <c r="B19" s="13"/>
      <c r="C19" s="15"/>
    </row>
    <row r="20" customFormat="false" ht="15" hidden="false" customHeight="true" outlineLevel="0" collapsed="false">
      <c r="A20" s="13"/>
      <c r="B20" s="13"/>
      <c r="C20" s="15"/>
    </row>
    <row r="21" customFormat="false" ht="15" hidden="false" customHeight="true" outlineLevel="0" collapsed="false">
      <c r="A21" s="13"/>
      <c r="B21" s="13"/>
      <c r="C21" s="15"/>
    </row>
    <row r="22" customFormat="false" ht="15" hidden="false" customHeight="true" outlineLevel="0" collapsed="false">
      <c r="A22" s="13"/>
      <c r="B22" s="13"/>
      <c r="C22" s="15"/>
    </row>
    <row r="23" customFormat="false" ht="15" hidden="false" customHeight="true" outlineLevel="0" collapsed="false">
      <c r="A23" s="13"/>
      <c r="B23" s="13"/>
      <c r="C23" s="15"/>
    </row>
    <row r="24" customFormat="false" ht="15" hidden="false" customHeight="true" outlineLevel="0" collapsed="false">
      <c r="A24" s="13"/>
      <c r="B24" s="13"/>
      <c r="C24" s="15"/>
    </row>
    <row r="25" customFormat="false" ht="15" hidden="false" customHeight="true" outlineLevel="0" collapsed="false">
      <c r="A25" s="13"/>
      <c r="B25" s="13"/>
      <c r="C25" s="15"/>
    </row>
    <row r="26" customFormat="false" ht="15" hidden="false" customHeight="true" outlineLevel="0" collapsed="false">
      <c r="A26" s="13"/>
      <c r="B26" s="13"/>
      <c r="C26" s="15"/>
    </row>
    <row r="27" customFormat="false" ht="15" hidden="false" customHeight="true" outlineLevel="0" collapsed="false">
      <c r="A27" s="13"/>
      <c r="B27" s="13"/>
      <c r="C27" s="15"/>
    </row>
    <row r="28" customFormat="false" ht="15" hidden="false" customHeight="true" outlineLevel="0" collapsed="false">
      <c r="A28" s="13"/>
      <c r="B28" s="13"/>
      <c r="C28" s="15"/>
    </row>
    <row r="29" customFormat="false" ht="15" hidden="false" customHeight="true" outlineLevel="0" collapsed="false">
      <c r="A29" s="13"/>
      <c r="B29" s="13"/>
      <c r="C29" s="15"/>
    </row>
    <row r="31" customFormat="false" ht="15" hidden="false" customHeight="true" outlineLevel="0" collapsed="false">
      <c r="A31" s="8" t="s">
        <v>87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0"/>
    <col collapsed="false" customWidth="true" hidden="false" outlineLevel="0" max="2" min="2" style="1" width="14"/>
    <col collapsed="false" customWidth="true" hidden="false" outlineLevel="0" max="3" min="3" style="1" width="60"/>
  </cols>
  <sheetData>
    <row r="1" customFormat="false" ht="17.25" hidden="false" customHeight="true" outlineLevel="0" collapsed="false">
      <c r="A1" s="2" t="s">
        <v>88</v>
      </c>
    </row>
    <row r="2" customFormat="false" ht="15" hidden="false" customHeight="true" outlineLevel="0" collapsed="false">
      <c r="A2" s="8" t="s">
        <v>89</v>
      </c>
    </row>
    <row r="4" customFormat="false" ht="15" hidden="false" customHeight="true" outlineLevel="0" collapsed="false">
      <c r="A4" s="3" t="s">
        <v>90</v>
      </c>
    </row>
    <row r="5" customFormat="false" ht="15" hidden="false" customHeight="true" outlineLevel="0" collapsed="false">
      <c r="A5" s="4" t="s">
        <v>91</v>
      </c>
      <c r="B5" s="11" t="n">
        <v>2</v>
      </c>
    </row>
    <row r="6" customFormat="false" ht="15" hidden="false" customHeight="true" outlineLevel="0" collapsed="false">
      <c r="A6" s="4" t="s">
        <v>92</v>
      </c>
      <c r="B6" s="11" t="n">
        <v>2400</v>
      </c>
    </row>
    <row r="7" customFormat="false" ht="15" hidden="false" customHeight="true" outlineLevel="0" collapsed="false">
      <c r="A7" s="4" t="s">
        <v>93</v>
      </c>
      <c r="B7" s="10" t="n">
        <v>0.45</v>
      </c>
      <c r="C7" s="1" t="s">
        <v>94</v>
      </c>
    </row>
    <row r="8" customFormat="false" ht="15" hidden="false" customHeight="true" outlineLevel="0" collapsed="false">
      <c r="A8" s="1" t="s">
        <v>95</v>
      </c>
      <c r="B8" s="16" t="n">
        <f aca="false">B5*B6*(1+B7)</f>
        <v>6960</v>
      </c>
    </row>
    <row r="9" customFormat="false" ht="15" hidden="false" customHeight="true" outlineLevel="0" collapsed="false">
      <c r="A9" s="1" t="s">
        <v>96</v>
      </c>
      <c r="B9" s="17" t="n">
        <f aca="false">B5*Parâmetros!B13*Parâmetros!B14</f>
        <v>220</v>
      </c>
    </row>
    <row r="10" customFormat="false" ht="15" hidden="false" customHeight="true" outlineLevel="0" collapsed="false">
      <c r="A10" s="3" t="s">
        <v>97</v>
      </c>
      <c r="B10" s="16" t="n">
        <f aca="false">IFERROR(B8/B9,0)</f>
        <v>31.6363636363636</v>
      </c>
      <c r="C10" s="8" t="s">
        <v>98</v>
      </c>
    </row>
    <row r="12" customFormat="false" ht="15" hidden="false" customHeight="true" outlineLevel="0" collapsed="false">
      <c r="A12" s="3" t="s">
        <v>99</v>
      </c>
    </row>
    <row r="13" customFormat="false" ht="31.5" hidden="false" customHeight="true" outlineLevel="0" collapsed="false">
      <c r="A13" s="9" t="s">
        <v>100</v>
      </c>
      <c r="B13" s="9" t="s">
        <v>101</v>
      </c>
      <c r="C13" s="9" t="s">
        <v>35</v>
      </c>
    </row>
    <row r="14" customFormat="false" ht="15" hidden="false" customHeight="true" outlineLevel="0" collapsed="false">
      <c r="A14" s="13" t="s">
        <v>102</v>
      </c>
      <c r="B14" s="11" t="n">
        <v>4500</v>
      </c>
      <c r="C14" s="8"/>
    </row>
    <row r="15" customFormat="false" ht="15" hidden="false" customHeight="true" outlineLevel="0" collapsed="false">
      <c r="A15" s="13" t="s">
        <v>103</v>
      </c>
      <c r="B15" s="11" t="n">
        <v>1500</v>
      </c>
      <c r="C15" s="8"/>
    </row>
    <row r="16" customFormat="false" ht="15" hidden="false" customHeight="true" outlineLevel="0" collapsed="false">
      <c r="A16" s="13" t="s">
        <v>104</v>
      </c>
      <c r="B16" s="11" t="n">
        <v>900</v>
      </c>
      <c r="C16" s="8"/>
    </row>
    <row r="17" customFormat="false" ht="15" hidden="false" customHeight="true" outlineLevel="0" collapsed="false">
      <c r="A17" s="13" t="s">
        <v>105</v>
      </c>
      <c r="B17" s="11" t="n">
        <v>600</v>
      </c>
      <c r="C17" s="8"/>
    </row>
    <row r="18" customFormat="false" ht="15" hidden="false" customHeight="true" outlineLevel="0" collapsed="false">
      <c r="A18" s="13" t="s">
        <v>106</v>
      </c>
      <c r="B18" s="11" t="n">
        <f aca="false">30000/60</f>
        <v>500</v>
      </c>
      <c r="C18" s="8" t="s">
        <v>107</v>
      </c>
    </row>
    <row r="19" customFormat="false" ht="15" hidden="false" customHeight="true" outlineLevel="0" collapsed="false">
      <c r="A19" s="13" t="s">
        <v>108</v>
      </c>
      <c r="B19" s="11" t="n">
        <v>300</v>
      </c>
      <c r="C19" s="8"/>
    </row>
    <row r="20" customFormat="false" ht="15" hidden="false" customHeight="true" outlineLevel="0" collapsed="false">
      <c r="A20" s="13" t="s">
        <v>109</v>
      </c>
      <c r="B20" s="11" t="n">
        <v>300</v>
      </c>
      <c r="C20" s="8"/>
    </row>
    <row r="21" customFormat="false" ht="15" hidden="false" customHeight="true" outlineLevel="0" collapsed="false">
      <c r="A21" s="13"/>
      <c r="B21" s="11"/>
      <c r="C21" s="8"/>
    </row>
    <row r="22" customFormat="false" ht="15" hidden="false" customHeight="true" outlineLevel="0" collapsed="false">
      <c r="A22" s="13"/>
      <c r="B22" s="11"/>
      <c r="C22" s="8"/>
    </row>
    <row r="23" customFormat="false" ht="15" hidden="false" customHeight="true" outlineLevel="0" collapsed="false">
      <c r="A23" s="13"/>
      <c r="B23" s="11"/>
      <c r="C23" s="8"/>
    </row>
    <row r="24" customFormat="false" ht="15" hidden="false" customHeight="true" outlineLevel="0" collapsed="false">
      <c r="A24" s="13"/>
      <c r="B24" s="11"/>
      <c r="C24" s="8"/>
    </row>
    <row r="25" customFormat="false" ht="15" hidden="false" customHeight="true" outlineLevel="0" collapsed="false">
      <c r="A25" s="13"/>
      <c r="B25" s="11"/>
      <c r="C25" s="8"/>
    </row>
    <row r="26" customFormat="false" ht="15" hidden="false" customHeight="true" outlineLevel="0" collapsed="false">
      <c r="A26" s="3" t="s">
        <v>110</v>
      </c>
      <c r="B26" s="18" t="n">
        <f aca="false">SUM(B14:B25)</f>
        <v>8600</v>
      </c>
    </row>
    <row r="28" customFormat="false" ht="15" hidden="false" customHeight="true" outlineLevel="0" collapsed="false">
      <c r="A28" s="3" t="s">
        <v>111</v>
      </c>
    </row>
    <row r="29" customFormat="false" ht="15" hidden="false" customHeight="true" outlineLevel="0" collapsed="false">
      <c r="A29" s="1" t="s">
        <v>112</v>
      </c>
      <c r="B29" s="17" t="n">
        <f aca="false">'Plano anual'!B37</f>
        <v>15373.7908496732</v>
      </c>
      <c r="C29" s="8" t="s">
        <v>113</v>
      </c>
    </row>
    <row r="30" customFormat="false" ht="15" hidden="false" customHeight="true" outlineLevel="0" collapsed="false">
      <c r="A30" s="3" t="s">
        <v>114</v>
      </c>
      <c r="B30" s="12" t="n">
        <f aca="false">IFERROR(B26/B29,0)</f>
        <v>0.559393586402459</v>
      </c>
    </row>
    <row r="32" customFormat="false" ht="15" hidden="false" customHeight="true" outlineLevel="0" collapsed="false">
      <c r="A32" s="3" t="s">
        <v>115</v>
      </c>
      <c r="B32" s="18" t="n">
        <f aca="false">B8+B26</f>
        <v>15560</v>
      </c>
      <c r="C32" s="8" t="s">
        <v>116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2"/>
    <col collapsed="false" customWidth="true" hidden="false" outlineLevel="0" max="2" min="2" style="1" width="30"/>
    <col collapsed="false" customWidth="true" hidden="false" outlineLevel="0" max="3" min="3" style="1" width="9"/>
    <col collapsed="false" customWidth="true" hidden="false" outlineLevel="0" max="5" min="4" style="1" width="14"/>
    <col collapsed="false" customWidth="true" hidden="false" outlineLevel="0" max="6" min="6" style="1" width="11"/>
  </cols>
  <sheetData>
    <row r="1" customFormat="false" ht="17.25" hidden="false" customHeight="true" outlineLevel="0" collapsed="false">
      <c r="A1" s="2" t="s">
        <v>117</v>
      </c>
    </row>
    <row r="2" customFormat="false" ht="15" hidden="false" customHeight="true" outlineLevel="0" collapsed="false">
      <c r="A2" s="8" t="s">
        <v>118</v>
      </c>
    </row>
    <row r="4" customFormat="false" ht="31.5" hidden="false" customHeight="true" outlineLevel="0" collapsed="false">
      <c r="A4" s="9" t="s">
        <v>119</v>
      </c>
      <c r="B4" s="9" t="s">
        <v>57</v>
      </c>
      <c r="C4" s="9" t="s">
        <v>120</v>
      </c>
      <c r="D4" s="9" t="s">
        <v>62</v>
      </c>
      <c r="E4" s="9" t="s">
        <v>121</v>
      </c>
      <c r="F4" s="9" t="s">
        <v>122</v>
      </c>
    </row>
    <row r="5" customFormat="false" ht="15" hidden="false" customHeight="true" outlineLevel="0" collapsed="false">
      <c r="A5" s="13" t="s">
        <v>123</v>
      </c>
      <c r="B5" s="13" t="s">
        <v>65</v>
      </c>
      <c r="C5" s="19" t="n">
        <v>15</v>
      </c>
      <c r="D5" s="20" t="n">
        <f aca="false">IF(B5="","",IFERROR(INDEX(Compras!$H$5:$H$34,MATCH(B5,Compras!$A$5:$A$34,0)),IFERROR(INDEX(Embalagens!$C$5:$C$29,MATCH(B5,Embalagens!$A$5:$A$29,0)),"não cadastrado")))</f>
        <v>4.41176470588235</v>
      </c>
      <c r="E5" s="14" t="n">
        <f aca="false">IF(ISNUMBER(D5),C5*D5,"")</f>
        <v>66.1764705882353</v>
      </c>
      <c r="F5" s="21" t="str">
        <f aca="false">IF(B5="","",IF(ISNUMBER(MATCH(B5,Compras!$A$5:$A$34,0)),"Flores",IF(ISNUMBER(MATCH(B5,Embalagens!$A$5:$A$29,0)),"Embalagem","?")))</f>
        <v>Flores</v>
      </c>
    </row>
    <row r="6" customFormat="false" ht="15" hidden="false" customHeight="true" outlineLevel="0" collapsed="false">
      <c r="A6" s="13" t="s">
        <v>123</v>
      </c>
      <c r="B6" s="13" t="s">
        <v>71</v>
      </c>
      <c r="C6" s="19" t="n">
        <v>5</v>
      </c>
      <c r="D6" s="20" t="n">
        <f aca="false">IF(B6="","",IFERROR(INDEX(Compras!$H$5:$H$34,MATCH(B6,Compras!$A$5:$A$34,0)),IFERROR(INDEX(Embalagens!$C$5:$C$29,MATCH(B6,Embalagens!$A$5:$A$29,0)),"não cadastrado")))</f>
        <v>3.11111111111111</v>
      </c>
      <c r="E6" s="14" t="n">
        <f aca="false">IF(ISNUMBER(D6),C6*D6,"")</f>
        <v>15.5555555555556</v>
      </c>
      <c r="F6" s="21" t="str">
        <f aca="false">IF(B6="","",IF(ISNUMBER(MATCH(B6,Compras!$A$5:$A$34,0)),"Flores",IF(ISNUMBER(MATCH(B6,Embalagens!$A$5:$A$29,0)),"Embalagem","?")))</f>
        <v>Flores</v>
      </c>
    </row>
    <row r="7" customFormat="false" ht="15" hidden="false" customHeight="true" outlineLevel="0" collapsed="false">
      <c r="A7" s="13" t="s">
        <v>123</v>
      </c>
      <c r="B7" s="13" t="s">
        <v>78</v>
      </c>
      <c r="C7" s="19" t="n">
        <v>2</v>
      </c>
      <c r="D7" s="20" t="n">
        <f aca="false">IF(B7="","",IFERROR(INDEX(Compras!$H$5:$H$34,MATCH(B7,Compras!$A$5:$A$34,0)),IFERROR(INDEX(Embalagens!$C$5:$C$29,MATCH(B7,Embalagens!$A$5:$A$29,0)),"não cadastrado")))</f>
        <v>2.5</v>
      </c>
      <c r="E7" s="14" t="n">
        <f aca="false">IF(ISNUMBER(D7),C7*D7,"")</f>
        <v>5</v>
      </c>
      <c r="F7" s="21" t="str">
        <f aca="false">IF(B7="","",IF(ISNUMBER(MATCH(B7,Compras!$A$5:$A$34,0)),"Flores",IF(ISNUMBER(MATCH(B7,Embalagens!$A$5:$A$29,0)),"Embalagem","?")))</f>
        <v>Embalagem</v>
      </c>
    </row>
    <row r="8" customFormat="false" ht="15" hidden="false" customHeight="true" outlineLevel="0" collapsed="false">
      <c r="A8" s="13" t="s">
        <v>123</v>
      </c>
      <c r="B8" s="13" t="s">
        <v>81</v>
      </c>
      <c r="C8" s="19" t="n">
        <v>1</v>
      </c>
      <c r="D8" s="20" t="n">
        <f aca="false">IF(B8="","",IFERROR(INDEX(Compras!$H$5:$H$34,MATCH(B8,Compras!$A$5:$A$34,0)),IFERROR(INDEX(Embalagens!$C$5:$C$29,MATCH(B8,Embalagens!$A$5:$A$29,0)),"não cadastrado")))</f>
        <v>3</v>
      </c>
      <c r="E8" s="14" t="n">
        <f aca="false">IF(ISNUMBER(D8),C8*D8,"")</f>
        <v>3</v>
      </c>
      <c r="F8" s="21" t="str">
        <f aca="false">IF(B8="","",IF(ISNUMBER(MATCH(B8,Compras!$A$5:$A$34,0)),"Flores",IF(ISNUMBER(MATCH(B8,Embalagens!$A$5:$A$29,0)),"Embalagem","?")))</f>
        <v>Embalagem</v>
      </c>
    </row>
    <row r="9" customFormat="false" ht="15" hidden="false" customHeight="true" outlineLevel="0" collapsed="false">
      <c r="A9" s="13" t="s">
        <v>123</v>
      </c>
      <c r="B9" s="13" t="s">
        <v>82</v>
      </c>
      <c r="C9" s="19" t="n">
        <v>1</v>
      </c>
      <c r="D9" s="20" t="n">
        <f aca="false">IF(B9="","",IFERROR(INDEX(Compras!$H$5:$H$34,MATCH(B9,Compras!$A$5:$A$34,0)),IFERROR(INDEX(Embalagens!$C$5:$C$29,MATCH(B9,Embalagens!$A$5:$A$29,0)),"não cadastrado")))</f>
        <v>1.5</v>
      </c>
      <c r="E9" s="14" t="n">
        <f aca="false">IF(ISNUMBER(D9),C9*D9,"")</f>
        <v>1.5</v>
      </c>
      <c r="F9" s="21" t="str">
        <f aca="false">IF(B9="","",IF(ISNUMBER(MATCH(B9,Compras!$A$5:$A$34,0)),"Flores",IF(ISNUMBER(MATCH(B9,Embalagens!$A$5:$A$29,0)),"Embalagem","?")))</f>
        <v>Embalagem</v>
      </c>
    </row>
    <row r="10" customFormat="false" ht="15" hidden="false" customHeight="true" outlineLevel="0" collapsed="false">
      <c r="A10" s="13" t="s">
        <v>123</v>
      </c>
      <c r="B10" s="13" t="s">
        <v>83</v>
      </c>
      <c r="C10" s="19" t="n">
        <v>1</v>
      </c>
      <c r="D10" s="20" t="n">
        <f aca="false">IF(B10="","",IFERROR(INDEX(Compras!$H$5:$H$34,MATCH(B10,Compras!$A$5:$A$34,0)),IFERROR(INDEX(Embalagens!$C$5:$C$29,MATCH(B10,Embalagens!$A$5:$A$29,0)),"não cadastrado")))</f>
        <v>1.5</v>
      </c>
      <c r="E10" s="14" t="n">
        <f aca="false">IF(ISNUMBER(D10),C10*D10,"")</f>
        <v>1.5</v>
      </c>
      <c r="F10" s="21" t="str">
        <f aca="false">IF(B10="","",IF(ISNUMBER(MATCH(B10,Compras!$A$5:$A$34,0)),"Flores",IF(ISNUMBER(MATCH(B10,Embalagens!$A$5:$A$29,0)),"Embalagem","?")))</f>
        <v>Embalagem</v>
      </c>
    </row>
    <row r="11" customFormat="false" ht="15" hidden="false" customHeight="true" outlineLevel="0" collapsed="false">
      <c r="A11" s="13" t="s">
        <v>124</v>
      </c>
      <c r="B11" s="13" t="s">
        <v>68</v>
      </c>
      <c r="C11" s="19" t="n">
        <v>5</v>
      </c>
      <c r="D11" s="20" t="n">
        <f aca="false">IF(B11="","",IFERROR(INDEX(Compras!$H$5:$H$34,MATCH(B11,Compras!$A$5:$A$34,0)),IFERROR(INDEX(Embalagens!$C$5:$C$29,MATCH(B11,Embalagens!$A$5:$A$29,0)),"não cadastrado")))</f>
        <v>5.55555555555556</v>
      </c>
      <c r="E11" s="14" t="n">
        <f aca="false">IF(ISNUMBER(D11),C11*D11,"")</f>
        <v>27.7777777777778</v>
      </c>
      <c r="F11" s="21" t="str">
        <f aca="false">IF(B11="","",IF(ISNUMBER(MATCH(B11,Compras!$A$5:$A$34,0)),"Flores",IF(ISNUMBER(MATCH(B11,Embalagens!$A$5:$A$29,0)),"Embalagem","?")))</f>
        <v>Flores</v>
      </c>
    </row>
    <row r="12" customFormat="false" ht="15" hidden="false" customHeight="true" outlineLevel="0" collapsed="false">
      <c r="A12" s="13" t="s">
        <v>124</v>
      </c>
      <c r="B12" s="13" t="s">
        <v>73</v>
      </c>
      <c r="C12" s="19" t="n">
        <v>3</v>
      </c>
      <c r="D12" s="20" t="n">
        <f aca="false">IF(B12="","",IFERROR(INDEX(Compras!$H$5:$H$34,MATCH(B12,Compras!$A$5:$A$34,0)),IFERROR(INDEX(Embalagens!$C$5:$C$29,MATCH(B12,Embalagens!$A$5:$A$29,0)),"não cadastrado")))</f>
        <v>1.88888888888889</v>
      </c>
      <c r="E12" s="14" t="n">
        <f aca="false">IF(ISNUMBER(D12),C12*D12,"")</f>
        <v>5.66666666666667</v>
      </c>
      <c r="F12" s="21" t="str">
        <f aca="false">IF(B12="","",IF(ISNUMBER(MATCH(B12,Compras!$A$5:$A$34,0)),"Flores",IF(ISNUMBER(MATCH(B12,Embalagens!$A$5:$A$29,0)),"Embalagem","?")))</f>
        <v>Flores</v>
      </c>
    </row>
    <row r="13" customFormat="false" ht="15" hidden="false" customHeight="true" outlineLevel="0" collapsed="false">
      <c r="A13" s="13" t="s">
        <v>124</v>
      </c>
      <c r="B13" s="13" t="s">
        <v>78</v>
      </c>
      <c r="C13" s="19" t="n">
        <v>2</v>
      </c>
      <c r="D13" s="20" t="n">
        <f aca="false">IF(B13="","",IFERROR(INDEX(Compras!$H$5:$H$34,MATCH(B13,Compras!$A$5:$A$34,0)),IFERROR(INDEX(Embalagens!$C$5:$C$29,MATCH(B13,Embalagens!$A$5:$A$29,0)),"não cadastrado")))</f>
        <v>2.5</v>
      </c>
      <c r="E13" s="14" t="n">
        <f aca="false">IF(ISNUMBER(D13),C13*D13,"")</f>
        <v>5</v>
      </c>
      <c r="F13" s="21" t="str">
        <f aca="false">IF(B13="","",IF(ISNUMBER(MATCH(B13,Compras!$A$5:$A$34,0)),"Flores",IF(ISNUMBER(MATCH(B13,Embalagens!$A$5:$A$29,0)),"Embalagem","?")))</f>
        <v>Embalagem</v>
      </c>
    </row>
    <row r="14" customFormat="false" ht="15" hidden="false" customHeight="true" outlineLevel="0" collapsed="false">
      <c r="A14" s="13" t="s">
        <v>124</v>
      </c>
      <c r="B14" s="13" t="s">
        <v>82</v>
      </c>
      <c r="C14" s="19" t="n">
        <v>1</v>
      </c>
      <c r="D14" s="20" t="n">
        <f aca="false">IF(B14="","",IFERROR(INDEX(Compras!$H$5:$H$34,MATCH(B14,Compras!$A$5:$A$34,0)),IFERROR(INDEX(Embalagens!$C$5:$C$29,MATCH(B14,Embalagens!$A$5:$A$29,0)),"não cadastrado")))</f>
        <v>1.5</v>
      </c>
      <c r="E14" s="14" t="n">
        <f aca="false">IF(ISNUMBER(D14),C14*D14,"")</f>
        <v>1.5</v>
      </c>
      <c r="F14" s="21" t="str">
        <f aca="false">IF(B14="","",IF(ISNUMBER(MATCH(B14,Compras!$A$5:$A$34,0)),"Flores",IF(ISNUMBER(MATCH(B14,Embalagens!$A$5:$A$29,0)),"Embalagem","?")))</f>
        <v>Embalagem</v>
      </c>
    </row>
    <row r="15" customFormat="false" ht="15" hidden="false" customHeight="true" outlineLevel="0" collapsed="false">
      <c r="A15" s="13" t="s">
        <v>125</v>
      </c>
      <c r="B15" s="13" t="s">
        <v>67</v>
      </c>
      <c r="C15" s="19" t="n">
        <v>7</v>
      </c>
      <c r="D15" s="20" t="n">
        <f aca="false">IF(B15="","",IFERROR(INDEX(Compras!$H$5:$H$34,MATCH(B15,Compras!$A$5:$A$34,0)),IFERROR(INDEX(Embalagens!$C$5:$C$29,MATCH(B15,Embalagens!$A$5:$A$29,0)),"não cadastrado")))</f>
        <v>2.94117647058824</v>
      </c>
      <c r="E15" s="14" t="n">
        <f aca="false">IF(ISNUMBER(D15),C15*D15,"")</f>
        <v>20.5882352941177</v>
      </c>
      <c r="F15" s="21" t="str">
        <f aca="false">IF(B15="","",IF(ISNUMBER(MATCH(B15,Compras!$A$5:$A$34,0)),"Flores",IF(ISNUMBER(MATCH(B15,Embalagens!$A$5:$A$29,0)),"Embalagem","?")))</f>
        <v>Flores</v>
      </c>
    </row>
    <row r="16" customFormat="false" ht="15" hidden="false" customHeight="true" outlineLevel="0" collapsed="false">
      <c r="A16" s="13" t="s">
        <v>125</v>
      </c>
      <c r="B16" s="13" t="s">
        <v>69</v>
      </c>
      <c r="C16" s="19" t="n">
        <v>5</v>
      </c>
      <c r="D16" s="20" t="n">
        <f aca="false">IF(B16="","",IFERROR(INDEX(Compras!$H$5:$H$34,MATCH(B16,Compras!$A$5:$A$34,0)),IFERROR(INDEX(Embalagens!$C$5:$C$29,MATCH(B16,Embalagens!$A$5:$A$29,0)),"não cadastrado")))</f>
        <v>3.75</v>
      </c>
      <c r="E16" s="14" t="n">
        <f aca="false">IF(ISNUMBER(D16),C16*D16,"")</f>
        <v>18.75</v>
      </c>
      <c r="F16" s="21" t="str">
        <f aca="false">IF(B16="","",IF(ISNUMBER(MATCH(B16,Compras!$A$5:$A$34,0)),"Flores",IF(ISNUMBER(MATCH(B16,Embalagens!$A$5:$A$29,0)),"Embalagem","?")))</f>
        <v>Flores</v>
      </c>
    </row>
    <row r="17" customFormat="false" ht="15" hidden="false" customHeight="true" outlineLevel="0" collapsed="false">
      <c r="A17" s="13" t="s">
        <v>125</v>
      </c>
      <c r="B17" s="13" t="s">
        <v>74</v>
      </c>
      <c r="C17" s="19" t="n">
        <v>2</v>
      </c>
      <c r="D17" s="20" t="n">
        <f aca="false">IF(B17="","",IFERROR(INDEX(Compras!$H$5:$H$34,MATCH(B17,Compras!$A$5:$A$34,0)),IFERROR(INDEX(Embalagens!$C$5:$C$29,MATCH(B17,Embalagens!$A$5:$A$29,0)),"não cadastrado")))</f>
        <v>4.47058823529412</v>
      </c>
      <c r="E17" s="14" t="n">
        <f aca="false">IF(ISNUMBER(D17),C17*D17,"")</f>
        <v>8.94117647058824</v>
      </c>
      <c r="F17" s="21" t="str">
        <f aca="false">IF(B17="","",IF(ISNUMBER(MATCH(B17,Compras!$A$5:$A$34,0)),"Flores",IF(ISNUMBER(MATCH(B17,Embalagens!$A$5:$A$29,0)),"Embalagem","?")))</f>
        <v>Flores</v>
      </c>
    </row>
    <row r="18" customFormat="false" ht="15" hidden="false" customHeight="true" outlineLevel="0" collapsed="false">
      <c r="A18" s="13" t="s">
        <v>125</v>
      </c>
      <c r="B18" s="13" t="s">
        <v>71</v>
      </c>
      <c r="C18" s="19" t="n">
        <v>3</v>
      </c>
      <c r="D18" s="20" t="n">
        <f aca="false">IF(B18="","",IFERROR(INDEX(Compras!$H$5:$H$34,MATCH(B18,Compras!$A$5:$A$34,0)),IFERROR(INDEX(Embalagens!$C$5:$C$29,MATCH(B18,Embalagens!$A$5:$A$29,0)),"não cadastrado")))</f>
        <v>3.11111111111111</v>
      </c>
      <c r="E18" s="14" t="n">
        <f aca="false">IF(ISNUMBER(D18),C18*D18,"")</f>
        <v>9.33333333333333</v>
      </c>
      <c r="F18" s="21" t="str">
        <f aca="false">IF(B18="","",IF(ISNUMBER(MATCH(B18,Compras!$A$5:$A$34,0)),"Flores",IF(ISNUMBER(MATCH(B18,Embalagens!$A$5:$A$29,0)),"Embalagem","?")))</f>
        <v>Flores</v>
      </c>
    </row>
    <row r="19" customFormat="false" ht="15" hidden="false" customHeight="true" outlineLevel="0" collapsed="false">
      <c r="A19" s="13" t="s">
        <v>125</v>
      </c>
      <c r="B19" s="13" t="s">
        <v>78</v>
      </c>
      <c r="C19" s="19" t="n">
        <v>2</v>
      </c>
      <c r="D19" s="20" t="n">
        <f aca="false">IF(B19="","",IFERROR(INDEX(Compras!$H$5:$H$34,MATCH(B19,Compras!$A$5:$A$34,0)),IFERROR(INDEX(Embalagens!$C$5:$C$29,MATCH(B19,Embalagens!$A$5:$A$29,0)),"não cadastrado")))</f>
        <v>2.5</v>
      </c>
      <c r="E19" s="14" t="n">
        <f aca="false">IF(ISNUMBER(D19),C19*D19,"")</f>
        <v>5</v>
      </c>
      <c r="F19" s="21" t="str">
        <f aca="false">IF(B19="","",IF(ISNUMBER(MATCH(B19,Compras!$A$5:$A$34,0)),"Flores",IF(ISNUMBER(MATCH(B19,Embalagens!$A$5:$A$29,0)),"Embalagem","?")))</f>
        <v>Embalagem</v>
      </c>
    </row>
    <row r="20" customFormat="false" ht="15" hidden="false" customHeight="true" outlineLevel="0" collapsed="false">
      <c r="A20" s="13" t="s">
        <v>125</v>
      </c>
      <c r="B20" s="13" t="s">
        <v>82</v>
      </c>
      <c r="C20" s="19" t="n">
        <v>1</v>
      </c>
      <c r="D20" s="20" t="n">
        <f aca="false">IF(B20="","",IFERROR(INDEX(Compras!$H$5:$H$34,MATCH(B20,Compras!$A$5:$A$34,0)),IFERROR(INDEX(Embalagens!$C$5:$C$29,MATCH(B20,Embalagens!$A$5:$A$29,0)),"não cadastrado")))</f>
        <v>1.5</v>
      </c>
      <c r="E20" s="14" t="n">
        <f aca="false">IF(ISNUMBER(D20),C20*D20,"")</f>
        <v>1.5</v>
      </c>
      <c r="F20" s="21" t="str">
        <f aca="false">IF(B20="","",IF(ISNUMBER(MATCH(B20,Compras!$A$5:$A$34,0)),"Flores",IF(ISNUMBER(MATCH(B20,Embalagens!$A$5:$A$29,0)),"Embalagem","?")))</f>
        <v>Embalagem</v>
      </c>
    </row>
    <row r="21" customFormat="false" ht="15" hidden="false" customHeight="true" outlineLevel="0" collapsed="false">
      <c r="A21" s="13" t="s">
        <v>125</v>
      </c>
      <c r="B21" s="13" t="s">
        <v>81</v>
      </c>
      <c r="C21" s="19" t="n">
        <v>1</v>
      </c>
      <c r="D21" s="20" t="n">
        <f aca="false">IF(B21="","",IFERROR(INDEX(Compras!$H$5:$H$34,MATCH(B21,Compras!$A$5:$A$34,0)),IFERROR(INDEX(Embalagens!$C$5:$C$29,MATCH(B21,Embalagens!$A$5:$A$29,0)),"não cadastrado")))</f>
        <v>3</v>
      </c>
      <c r="E21" s="14" t="n">
        <f aca="false">IF(ISNUMBER(D21),C21*D21,"")</f>
        <v>3</v>
      </c>
      <c r="F21" s="21" t="str">
        <f aca="false">IF(B21="","",IF(ISNUMBER(MATCH(B21,Compras!$A$5:$A$34,0)),"Flores",IF(ISNUMBER(MATCH(B21,Embalagens!$A$5:$A$29,0)),"Embalagem","?")))</f>
        <v>Embalagem</v>
      </c>
    </row>
    <row r="22" customFormat="false" ht="15" hidden="false" customHeight="true" outlineLevel="0" collapsed="false">
      <c r="A22" s="13" t="s">
        <v>125</v>
      </c>
      <c r="B22" s="13" t="s">
        <v>83</v>
      </c>
      <c r="C22" s="19" t="n">
        <v>1</v>
      </c>
      <c r="D22" s="20" t="n">
        <f aca="false">IF(B22="","",IFERROR(INDEX(Compras!$H$5:$H$34,MATCH(B22,Compras!$A$5:$A$34,0)),IFERROR(INDEX(Embalagens!$C$5:$C$29,MATCH(B22,Embalagens!$A$5:$A$29,0)),"não cadastrado")))</f>
        <v>1.5</v>
      </c>
      <c r="E22" s="14" t="n">
        <f aca="false">IF(ISNUMBER(D22),C22*D22,"")</f>
        <v>1.5</v>
      </c>
      <c r="F22" s="21" t="str">
        <f aca="false">IF(B22="","",IF(ISNUMBER(MATCH(B22,Compras!$A$5:$A$34,0)),"Flores",IF(ISNUMBER(MATCH(B22,Embalagens!$A$5:$A$29,0)),"Embalagem","?")))</f>
        <v>Embalagem</v>
      </c>
    </row>
    <row r="23" customFormat="false" ht="15" hidden="false" customHeight="true" outlineLevel="0" collapsed="false">
      <c r="A23" s="13" t="s">
        <v>126</v>
      </c>
      <c r="B23" s="13" t="s">
        <v>65</v>
      </c>
      <c r="C23" s="19" t="n">
        <v>1</v>
      </c>
      <c r="D23" s="20" t="n">
        <f aca="false">IF(B23="","",IFERROR(INDEX(Compras!$H$5:$H$34,MATCH(B23,Compras!$A$5:$A$34,0)),IFERROR(INDEX(Embalagens!$C$5:$C$29,MATCH(B23,Embalagens!$A$5:$A$29,0)),"não cadastrado")))</f>
        <v>4.41176470588235</v>
      </c>
      <c r="E23" s="14" t="n">
        <f aca="false">IF(ISNUMBER(D23),C23*D23,"")</f>
        <v>4.41176470588235</v>
      </c>
      <c r="F23" s="21" t="str">
        <f aca="false">IF(B23="","",IF(ISNUMBER(MATCH(B23,Compras!$A$5:$A$34,0)),"Flores",IF(ISNUMBER(MATCH(B23,Embalagens!$A$5:$A$29,0)),"Embalagem","?")))</f>
        <v>Flores</v>
      </c>
    </row>
    <row r="24" customFormat="false" ht="15" hidden="false" customHeight="true" outlineLevel="0" collapsed="false">
      <c r="A24" s="13" t="s">
        <v>126</v>
      </c>
      <c r="B24" s="13" t="s">
        <v>80</v>
      </c>
      <c r="C24" s="19" t="n">
        <v>1</v>
      </c>
      <c r="D24" s="20" t="n">
        <f aca="false">IF(B24="","",IFERROR(INDEX(Compras!$H$5:$H$34,MATCH(B24,Compras!$A$5:$A$34,0)),IFERROR(INDEX(Embalagens!$C$5:$C$29,MATCH(B24,Embalagens!$A$5:$A$29,0)),"não cadastrado")))</f>
        <v>0.8</v>
      </c>
      <c r="E24" s="14" t="n">
        <f aca="false">IF(ISNUMBER(D24),C24*D24,"")</f>
        <v>0.8</v>
      </c>
      <c r="F24" s="21" t="str">
        <f aca="false">IF(B24="","",IF(ISNUMBER(MATCH(B24,Compras!$A$5:$A$34,0)),"Flores",IF(ISNUMBER(MATCH(B24,Embalagens!$A$5:$A$29,0)),"Embalagem","?")))</f>
        <v>Embalagem</v>
      </c>
    </row>
    <row r="25" customFormat="false" ht="15" hidden="false" customHeight="true" outlineLevel="0" collapsed="false">
      <c r="A25" s="13"/>
      <c r="B25" s="13"/>
      <c r="C25" s="19"/>
      <c r="D25" s="20" t="str">
        <f aca="false">IF(B25="","",IFERROR(INDEX(Compras!$H$5:$H$34,MATCH(B25,Compras!$A$5:$A$34,0)),IFERROR(INDEX(Embalagens!$C$5:$C$29,MATCH(B25,Embalagens!$A$5:$A$29,0)),"não cadastrado")))</f>
        <v/>
      </c>
      <c r="E25" s="14" t="str">
        <f aca="false">IF(ISNUMBER(D25),C25*D25,"")</f>
        <v/>
      </c>
      <c r="F25" s="21" t="str">
        <f aca="false">IF(B25="","",IF(ISNUMBER(MATCH(B25,Compras!$A$5:$A$34,0)),"Flores",IF(ISNUMBER(MATCH(B25,Embalagens!$A$5:$A$29,0)),"Embalagem","?")))</f>
        <v/>
      </c>
    </row>
    <row r="26" customFormat="false" ht="15" hidden="false" customHeight="true" outlineLevel="0" collapsed="false">
      <c r="A26" s="13"/>
      <c r="B26" s="13"/>
      <c r="C26" s="19"/>
      <c r="D26" s="20" t="str">
        <f aca="false">IF(B26="","",IFERROR(INDEX(Compras!$H$5:$H$34,MATCH(B26,Compras!$A$5:$A$34,0)),IFERROR(INDEX(Embalagens!$C$5:$C$29,MATCH(B26,Embalagens!$A$5:$A$29,0)),"não cadastrado")))</f>
        <v/>
      </c>
      <c r="E26" s="14" t="str">
        <f aca="false">IF(ISNUMBER(D26),C26*D26,"")</f>
        <v/>
      </c>
      <c r="F26" s="21" t="str">
        <f aca="false">IF(B26="","",IF(ISNUMBER(MATCH(B26,Compras!$A$5:$A$34,0)),"Flores",IF(ISNUMBER(MATCH(B26,Embalagens!$A$5:$A$29,0)),"Embalagem","?")))</f>
        <v/>
      </c>
    </row>
    <row r="27" customFormat="false" ht="15" hidden="false" customHeight="true" outlineLevel="0" collapsed="false">
      <c r="A27" s="13"/>
      <c r="B27" s="13"/>
      <c r="C27" s="19"/>
      <c r="D27" s="20" t="str">
        <f aca="false">IF(B27="","",IFERROR(INDEX(Compras!$H$5:$H$34,MATCH(B27,Compras!$A$5:$A$34,0)),IFERROR(INDEX(Embalagens!$C$5:$C$29,MATCH(B27,Embalagens!$A$5:$A$29,0)),"não cadastrado")))</f>
        <v/>
      </c>
      <c r="E27" s="14" t="str">
        <f aca="false">IF(ISNUMBER(D27),C27*D27,"")</f>
        <v/>
      </c>
      <c r="F27" s="21" t="str">
        <f aca="false">IF(B27="","",IF(ISNUMBER(MATCH(B27,Compras!$A$5:$A$34,0)),"Flores",IF(ISNUMBER(MATCH(B27,Embalagens!$A$5:$A$29,0)),"Embalagem","?")))</f>
        <v/>
      </c>
    </row>
    <row r="28" customFormat="false" ht="15" hidden="false" customHeight="true" outlineLevel="0" collapsed="false">
      <c r="A28" s="13"/>
      <c r="B28" s="13"/>
      <c r="C28" s="19"/>
      <c r="D28" s="20" t="str">
        <f aca="false">IF(B28="","",IFERROR(INDEX(Compras!$H$5:$H$34,MATCH(B28,Compras!$A$5:$A$34,0)),IFERROR(INDEX(Embalagens!$C$5:$C$29,MATCH(B28,Embalagens!$A$5:$A$29,0)),"não cadastrado")))</f>
        <v/>
      </c>
      <c r="E28" s="14" t="str">
        <f aca="false">IF(ISNUMBER(D28),C28*D28,"")</f>
        <v/>
      </c>
      <c r="F28" s="21" t="str">
        <f aca="false">IF(B28="","",IF(ISNUMBER(MATCH(B28,Compras!$A$5:$A$34,0)),"Flores",IF(ISNUMBER(MATCH(B28,Embalagens!$A$5:$A$29,0)),"Embalagem","?")))</f>
        <v/>
      </c>
    </row>
    <row r="29" customFormat="false" ht="15" hidden="false" customHeight="true" outlineLevel="0" collapsed="false">
      <c r="A29" s="13"/>
      <c r="B29" s="13"/>
      <c r="C29" s="19"/>
      <c r="D29" s="20" t="str">
        <f aca="false">IF(B29="","",IFERROR(INDEX(Compras!$H$5:$H$34,MATCH(B29,Compras!$A$5:$A$34,0)),IFERROR(INDEX(Embalagens!$C$5:$C$29,MATCH(B29,Embalagens!$A$5:$A$29,0)),"não cadastrado")))</f>
        <v/>
      </c>
      <c r="E29" s="14" t="str">
        <f aca="false">IF(ISNUMBER(D29),C29*D29,"")</f>
        <v/>
      </c>
      <c r="F29" s="21" t="str">
        <f aca="false">IF(B29="","",IF(ISNUMBER(MATCH(B29,Compras!$A$5:$A$34,0)),"Flores",IF(ISNUMBER(MATCH(B29,Embalagens!$A$5:$A$29,0)),"Embalagem","?")))</f>
        <v/>
      </c>
    </row>
    <row r="30" customFormat="false" ht="15" hidden="false" customHeight="true" outlineLevel="0" collapsed="false">
      <c r="A30" s="13"/>
      <c r="B30" s="13"/>
      <c r="C30" s="19"/>
      <c r="D30" s="20" t="str">
        <f aca="false">IF(B30="","",IFERROR(INDEX(Compras!$H$5:$H$34,MATCH(B30,Compras!$A$5:$A$34,0)),IFERROR(INDEX(Embalagens!$C$5:$C$29,MATCH(B30,Embalagens!$A$5:$A$29,0)),"não cadastrado")))</f>
        <v/>
      </c>
      <c r="E30" s="14" t="str">
        <f aca="false">IF(ISNUMBER(D30),C30*D30,"")</f>
        <v/>
      </c>
      <c r="F30" s="21" t="str">
        <f aca="false">IF(B30="","",IF(ISNUMBER(MATCH(B30,Compras!$A$5:$A$34,0)),"Flores",IF(ISNUMBER(MATCH(B30,Embalagens!$A$5:$A$29,0)),"Embalagem","?")))</f>
        <v/>
      </c>
    </row>
    <row r="31" customFormat="false" ht="15" hidden="false" customHeight="true" outlineLevel="0" collapsed="false">
      <c r="A31" s="13"/>
      <c r="B31" s="13"/>
      <c r="C31" s="19"/>
      <c r="D31" s="20" t="str">
        <f aca="false">IF(B31="","",IFERROR(INDEX(Compras!$H$5:$H$34,MATCH(B31,Compras!$A$5:$A$34,0)),IFERROR(INDEX(Embalagens!$C$5:$C$29,MATCH(B31,Embalagens!$A$5:$A$29,0)),"não cadastrado")))</f>
        <v/>
      </c>
      <c r="E31" s="14" t="str">
        <f aca="false">IF(ISNUMBER(D31),C31*D31,"")</f>
        <v/>
      </c>
      <c r="F31" s="21" t="str">
        <f aca="false">IF(B31="","",IF(ISNUMBER(MATCH(B31,Compras!$A$5:$A$34,0)),"Flores",IF(ISNUMBER(MATCH(B31,Embalagens!$A$5:$A$29,0)),"Embalagem","?")))</f>
        <v/>
      </c>
    </row>
    <row r="32" customFormat="false" ht="15" hidden="false" customHeight="true" outlineLevel="0" collapsed="false">
      <c r="A32" s="13"/>
      <c r="B32" s="13"/>
      <c r="C32" s="19"/>
      <c r="D32" s="20" t="str">
        <f aca="false">IF(B32="","",IFERROR(INDEX(Compras!$H$5:$H$34,MATCH(B32,Compras!$A$5:$A$34,0)),IFERROR(INDEX(Embalagens!$C$5:$C$29,MATCH(B32,Embalagens!$A$5:$A$29,0)),"não cadastrado")))</f>
        <v/>
      </c>
      <c r="E32" s="14" t="str">
        <f aca="false">IF(ISNUMBER(D32),C32*D32,"")</f>
        <v/>
      </c>
      <c r="F32" s="21" t="str">
        <f aca="false">IF(B32="","",IF(ISNUMBER(MATCH(B32,Compras!$A$5:$A$34,0)),"Flores",IF(ISNUMBER(MATCH(B32,Embalagens!$A$5:$A$29,0)),"Embalagem","?")))</f>
        <v/>
      </c>
    </row>
    <row r="33" customFormat="false" ht="15" hidden="false" customHeight="true" outlineLevel="0" collapsed="false">
      <c r="A33" s="13"/>
      <c r="B33" s="13"/>
      <c r="C33" s="19"/>
      <c r="D33" s="20" t="str">
        <f aca="false">IF(B33="","",IFERROR(INDEX(Compras!$H$5:$H$34,MATCH(B33,Compras!$A$5:$A$34,0)),IFERROR(INDEX(Embalagens!$C$5:$C$29,MATCH(B33,Embalagens!$A$5:$A$29,0)),"não cadastrado")))</f>
        <v/>
      </c>
      <c r="E33" s="14" t="str">
        <f aca="false">IF(ISNUMBER(D33),C33*D33,"")</f>
        <v/>
      </c>
      <c r="F33" s="21" t="str">
        <f aca="false">IF(B33="","",IF(ISNUMBER(MATCH(B33,Compras!$A$5:$A$34,0)),"Flores",IF(ISNUMBER(MATCH(B33,Embalagens!$A$5:$A$29,0)),"Embalagem","?")))</f>
        <v/>
      </c>
    </row>
    <row r="34" customFormat="false" ht="15" hidden="false" customHeight="true" outlineLevel="0" collapsed="false">
      <c r="A34" s="13"/>
      <c r="B34" s="13"/>
      <c r="C34" s="19"/>
      <c r="D34" s="20" t="str">
        <f aca="false">IF(B34="","",IFERROR(INDEX(Compras!$H$5:$H$34,MATCH(B34,Compras!$A$5:$A$34,0)),IFERROR(INDEX(Embalagens!$C$5:$C$29,MATCH(B34,Embalagens!$A$5:$A$29,0)),"não cadastrado")))</f>
        <v/>
      </c>
      <c r="E34" s="14" t="str">
        <f aca="false">IF(ISNUMBER(D34),C34*D34,"")</f>
        <v/>
      </c>
      <c r="F34" s="21" t="str">
        <f aca="false">IF(B34="","",IF(ISNUMBER(MATCH(B34,Compras!$A$5:$A$34,0)),"Flores",IF(ISNUMBER(MATCH(B34,Embalagens!$A$5:$A$29,0)),"Embalagem","?")))</f>
        <v/>
      </c>
    </row>
    <row r="35" customFormat="false" ht="15" hidden="false" customHeight="true" outlineLevel="0" collapsed="false">
      <c r="A35" s="13"/>
      <c r="B35" s="13"/>
      <c r="C35" s="19"/>
      <c r="D35" s="20" t="str">
        <f aca="false">IF(B35="","",IFERROR(INDEX(Compras!$H$5:$H$34,MATCH(B35,Compras!$A$5:$A$34,0)),IFERROR(INDEX(Embalagens!$C$5:$C$29,MATCH(B35,Embalagens!$A$5:$A$29,0)),"não cadastrado")))</f>
        <v/>
      </c>
      <c r="E35" s="14" t="str">
        <f aca="false">IF(ISNUMBER(D35),C35*D35,"")</f>
        <v/>
      </c>
      <c r="F35" s="21" t="str">
        <f aca="false">IF(B35="","",IF(ISNUMBER(MATCH(B35,Compras!$A$5:$A$34,0)),"Flores",IF(ISNUMBER(MATCH(B35,Embalagens!$A$5:$A$29,0)),"Embalagem","?")))</f>
        <v/>
      </c>
    </row>
    <row r="36" customFormat="false" ht="15" hidden="false" customHeight="true" outlineLevel="0" collapsed="false">
      <c r="A36" s="13"/>
      <c r="B36" s="13"/>
      <c r="C36" s="19"/>
      <c r="D36" s="20" t="str">
        <f aca="false">IF(B36="","",IFERROR(INDEX(Compras!$H$5:$H$34,MATCH(B36,Compras!$A$5:$A$34,0)),IFERROR(INDEX(Embalagens!$C$5:$C$29,MATCH(B36,Embalagens!$A$5:$A$29,0)),"não cadastrado")))</f>
        <v/>
      </c>
      <c r="E36" s="14" t="str">
        <f aca="false">IF(ISNUMBER(D36),C36*D36,"")</f>
        <v/>
      </c>
      <c r="F36" s="21" t="str">
        <f aca="false">IF(B36="","",IF(ISNUMBER(MATCH(B36,Compras!$A$5:$A$34,0)),"Flores",IF(ISNUMBER(MATCH(B36,Embalagens!$A$5:$A$29,0)),"Embalagem","?")))</f>
        <v/>
      </c>
    </row>
    <row r="37" customFormat="false" ht="15" hidden="false" customHeight="true" outlineLevel="0" collapsed="false">
      <c r="A37" s="13"/>
      <c r="B37" s="13"/>
      <c r="C37" s="19"/>
      <c r="D37" s="20" t="str">
        <f aca="false">IF(B37="","",IFERROR(INDEX(Compras!$H$5:$H$34,MATCH(B37,Compras!$A$5:$A$34,0)),IFERROR(INDEX(Embalagens!$C$5:$C$29,MATCH(B37,Embalagens!$A$5:$A$29,0)),"não cadastrado")))</f>
        <v/>
      </c>
      <c r="E37" s="14" t="str">
        <f aca="false">IF(ISNUMBER(D37),C37*D37,"")</f>
        <v/>
      </c>
      <c r="F37" s="21" t="str">
        <f aca="false">IF(B37="","",IF(ISNUMBER(MATCH(B37,Compras!$A$5:$A$34,0)),"Flores",IF(ISNUMBER(MATCH(B37,Embalagens!$A$5:$A$29,0)),"Embalagem","?")))</f>
        <v/>
      </c>
    </row>
    <row r="38" customFormat="false" ht="15" hidden="false" customHeight="true" outlineLevel="0" collapsed="false">
      <c r="A38" s="13"/>
      <c r="B38" s="13"/>
      <c r="C38" s="19"/>
      <c r="D38" s="20" t="str">
        <f aca="false">IF(B38="","",IFERROR(INDEX(Compras!$H$5:$H$34,MATCH(B38,Compras!$A$5:$A$34,0)),IFERROR(INDEX(Embalagens!$C$5:$C$29,MATCH(B38,Embalagens!$A$5:$A$29,0)),"não cadastrado")))</f>
        <v/>
      </c>
      <c r="E38" s="14" t="str">
        <f aca="false">IF(ISNUMBER(D38),C38*D38,"")</f>
        <v/>
      </c>
      <c r="F38" s="21" t="str">
        <f aca="false">IF(B38="","",IF(ISNUMBER(MATCH(B38,Compras!$A$5:$A$34,0)),"Flores",IF(ISNUMBER(MATCH(B38,Embalagens!$A$5:$A$29,0)),"Embalagem","?")))</f>
        <v/>
      </c>
    </row>
    <row r="39" customFormat="false" ht="15" hidden="false" customHeight="true" outlineLevel="0" collapsed="false">
      <c r="A39" s="13"/>
      <c r="B39" s="13"/>
      <c r="C39" s="19"/>
      <c r="D39" s="20" t="str">
        <f aca="false">IF(B39="","",IFERROR(INDEX(Compras!$H$5:$H$34,MATCH(B39,Compras!$A$5:$A$34,0)),IFERROR(INDEX(Embalagens!$C$5:$C$29,MATCH(B39,Embalagens!$A$5:$A$29,0)),"não cadastrado")))</f>
        <v/>
      </c>
      <c r="E39" s="14" t="str">
        <f aca="false">IF(ISNUMBER(D39),C39*D39,"")</f>
        <v/>
      </c>
      <c r="F39" s="21" t="str">
        <f aca="false">IF(B39="","",IF(ISNUMBER(MATCH(B39,Compras!$A$5:$A$34,0)),"Flores",IF(ISNUMBER(MATCH(B39,Embalagens!$A$5:$A$29,0)),"Embalagem","?")))</f>
        <v/>
      </c>
    </row>
    <row r="40" customFormat="false" ht="15" hidden="false" customHeight="true" outlineLevel="0" collapsed="false">
      <c r="A40" s="13"/>
      <c r="B40" s="13"/>
      <c r="C40" s="19"/>
      <c r="D40" s="20" t="str">
        <f aca="false">IF(B40="","",IFERROR(INDEX(Compras!$H$5:$H$34,MATCH(B40,Compras!$A$5:$A$34,0)),IFERROR(INDEX(Embalagens!$C$5:$C$29,MATCH(B40,Embalagens!$A$5:$A$29,0)),"não cadastrado")))</f>
        <v/>
      </c>
      <c r="E40" s="14" t="str">
        <f aca="false">IF(ISNUMBER(D40),C40*D40,"")</f>
        <v/>
      </c>
      <c r="F40" s="21" t="str">
        <f aca="false">IF(B40="","",IF(ISNUMBER(MATCH(B40,Compras!$A$5:$A$34,0)),"Flores",IF(ISNUMBER(MATCH(B40,Embalagens!$A$5:$A$29,0)),"Embalagem","?")))</f>
        <v/>
      </c>
    </row>
    <row r="41" customFormat="false" ht="15" hidden="false" customHeight="true" outlineLevel="0" collapsed="false">
      <c r="A41" s="13"/>
      <c r="B41" s="13"/>
      <c r="C41" s="19"/>
      <c r="D41" s="20" t="str">
        <f aca="false">IF(B41="","",IFERROR(INDEX(Compras!$H$5:$H$34,MATCH(B41,Compras!$A$5:$A$34,0)),IFERROR(INDEX(Embalagens!$C$5:$C$29,MATCH(B41,Embalagens!$A$5:$A$29,0)),"não cadastrado")))</f>
        <v/>
      </c>
      <c r="E41" s="14" t="str">
        <f aca="false">IF(ISNUMBER(D41),C41*D41,"")</f>
        <v/>
      </c>
      <c r="F41" s="21" t="str">
        <f aca="false">IF(B41="","",IF(ISNUMBER(MATCH(B41,Compras!$A$5:$A$34,0)),"Flores",IF(ISNUMBER(MATCH(B41,Embalagens!$A$5:$A$29,0)),"Embalagem","?")))</f>
        <v/>
      </c>
    </row>
    <row r="42" customFormat="false" ht="15" hidden="false" customHeight="true" outlineLevel="0" collapsed="false">
      <c r="A42" s="13"/>
      <c r="B42" s="13"/>
      <c r="C42" s="19"/>
      <c r="D42" s="20" t="str">
        <f aca="false">IF(B42="","",IFERROR(INDEX(Compras!$H$5:$H$34,MATCH(B42,Compras!$A$5:$A$34,0)),IFERROR(INDEX(Embalagens!$C$5:$C$29,MATCH(B42,Embalagens!$A$5:$A$29,0)),"não cadastrado")))</f>
        <v/>
      </c>
      <c r="E42" s="14" t="str">
        <f aca="false">IF(ISNUMBER(D42),C42*D42,"")</f>
        <v/>
      </c>
      <c r="F42" s="21" t="str">
        <f aca="false">IF(B42="","",IF(ISNUMBER(MATCH(B42,Compras!$A$5:$A$34,0)),"Flores",IF(ISNUMBER(MATCH(B42,Embalagens!$A$5:$A$29,0)),"Embalagem","?")))</f>
        <v/>
      </c>
    </row>
    <row r="43" customFormat="false" ht="15" hidden="false" customHeight="true" outlineLevel="0" collapsed="false">
      <c r="A43" s="13"/>
      <c r="B43" s="13"/>
      <c r="C43" s="19"/>
      <c r="D43" s="20" t="str">
        <f aca="false">IF(B43="","",IFERROR(INDEX(Compras!$H$5:$H$34,MATCH(B43,Compras!$A$5:$A$34,0)),IFERROR(INDEX(Embalagens!$C$5:$C$29,MATCH(B43,Embalagens!$A$5:$A$29,0)),"não cadastrado")))</f>
        <v/>
      </c>
      <c r="E43" s="14" t="str">
        <f aca="false">IF(ISNUMBER(D43),C43*D43,"")</f>
        <v/>
      </c>
      <c r="F43" s="21" t="str">
        <f aca="false">IF(B43="","",IF(ISNUMBER(MATCH(B43,Compras!$A$5:$A$34,0)),"Flores",IF(ISNUMBER(MATCH(B43,Embalagens!$A$5:$A$29,0)),"Embalagem","?")))</f>
        <v/>
      </c>
    </row>
    <row r="44" customFormat="false" ht="15" hidden="false" customHeight="true" outlineLevel="0" collapsed="false">
      <c r="A44" s="13"/>
      <c r="B44" s="13"/>
      <c r="C44" s="19"/>
      <c r="D44" s="20" t="str">
        <f aca="false">IF(B44="","",IFERROR(INDEX(Compras!$H$5:$H$34,MATCH(B44,Compras!$A$5:$A$34,0)),IFERROR(INDEX(Embalagens!$C$5:$C$29,MATCH(B44,Embalagens!$A$5:$A$29,0)),"não cadastrado")))</f>
        <v/>
      </c>
      <c r="E44" s="14" t="str">
        <f aca="false">IF(ISNUMBER(D44),C44*D44,"")</f>
        <v/>
      </c>
      <c r="F44" s="21" t="str">
        <f aca="false">IF(B44="","",IF(ISNUMBER(MATCH(B44,Compras!$A$5:$A$34,0)),"Flores",IF(ISNUMBER(MATCH(B44,Embalagens!$A$5:$A$29,0)),"Embalagem","?")))</f>
        <v/>
      </c>
    </row>
    <row r="45" customFormat="false" ht="15" hidden="false" customHeight="true" outlineLevel="0" collapsed="false">
      <c r="A45" s="13"/>
      <c r="B45" s="13"/>
      <c r="C45" s="19"/>
      <c r="D45" s="20" t="str">
        <f aca="false">IF(B45="","",IFERROR(INDEX(Compras!$H$5:$H$34,MATCH(B45,Compras!$A$5:$A$34,0)),IFERROR(INDEX(Embalagens!$C$5:$C$29,MATCH(B45,Embalagens!$A$5:$A$29,0)),"não cadastrado")))</f>
        <v/>
      </c>
      <c r="E45" s="14" t="str">
        <f aca="false">IF(ISNUMBER(D45),C45*D45,"")</f>
        <v/>
      </c>
      <c r="F45" s="21" t="str">
        <f aca="false">IF(B45="","",IF(ISNUMBER(MATCH(B45,Compras!$A$5:$A$34,0)),"Flores",IF(ISNUMBER(MATCH(B45,Embalagens!$A$5:$A$29,0)),"Embalagem","?")))</f>
        <v/>
      </c>
    </row>
    <row r="46" customFormat="false" ht="15" hidden="false" customHeight="true" outlineLevel="0" collapsed="false">
      <c r="A46" s="13"/>
      <c r="B46" s="13"/>
      <c r="C46" s="19"/>
      <c r="D46" s="20" t="str">
        <f aca="false">IF(B46="","",IFERROR(INDEX(Compras!$H$5:$H$34,MATCH(B46,Compras!$A$5:$A$34,0)),IFERROR(INDEX(Embalagens!$C$5:$C$29,MATCH(B46,Embalagens!$A$5:$A$29,0)),"não cadastrado")))</f>
        <v/>
      </c>
      <c r="E46" s="14" t="str">
        <f aca="false">IF(ISNUMBER(D46),C46*D46,"")</f>
        <v/>
      </c>
      <c r="F46" s="21" t="str">
        <f aca="false">IF(B46="","",IF(ISNUMBER(MATCH(B46,Compras!$A$5:$A$34,0)),"Flores",IF(ISNUMBER(MATCH(B46,Embalagens!$A$5:$A$29,0)),"Embalagem","?")))</f>
        <v/>
      </c>
    </row>
    <row r="47" customFormat="false" ht="15" hidden="false" customHeight="true" outlineLevel="0" collapsed="false">
      <c r="A47" s="13"/>
      <c r="B47" s="13"/>
      <c r="C47" s="19"/>
      <c r="D47" s="20" t="str">
        <f aca="false">IF(B47="","",IFERROR(INDEX(Compras!$H$5:$H$34,MATCH(B47,Compras!$A$5:$A$34,0)),IFERROR(INDEX(Embalagens!$C$5:$C$29,MATCH(B47,Embalagens!$A$5:$A$29,0)),"não cadastrado")))</f>
        <v/>
      </c>
      <c r="E47" s="14" t="str">
        <f aca="false">IF(ISNUMBER(D47),C47*D47,"")</f>
        <v/>
      </c>
      <c r="F47" s="21" t="str">
        <f aca="false">IF(B47="","",IF(ISNUMBER(MATCH(B47,Compras!$A$5:$A$34,0)),"Flores",IF(ISNUMBER(MATCH(B47,Embalagens!$A$5:$A$29,0)),"Embalagem","?")))</f>
        <v/>
      </c>
    </row>
    <row r="48" customFormat="false" ht="15" hidden="false" customHeight="true" outlineLevel="0" collapsed="false">
      <c r="A48" s="13"/>
      <c r="B48" s="13"/>
      <c r="C48" s="19"/>
      <c r="D48" s="20" t="str">
        <f aca="false">IF(B48="","",IFERROR(INDEX(Compras!$H$5:$H$34,MATCH(B48,Compras!$A$5:$A$34,0)),IFERROR(INDEX(Embalagens!$C$5:$C$29,MATCH(B48,Embalagens!$A$5:$A$29,0)),"não cadastrado")))</f>
        <v/>
      </c>
      <c r="E48" s="14" t="str">
        <f aca="false">IF(ISNUMBER(D48),C48*D48,"")</f>
        <v/>
      </c>
      <c r="F48" s="21" t="str">
        <f aca="false">IF(B48="","",IF(ISNUMBER(MATCH(B48,Compras!$A$5:$A$34,0)),"Flores",IF(ISNUMBER(MATCH(B48,Embalagens!$A$5:$A$29,0)),"Embalagem","?")))</f>
        <v/>
      </c>
    </row>
    <row r="49" customFormat="false" ht="15" hidden="false" customHeight="true" outlineLevel="0" collapsed="false">
      <c r="A49" s="13"/>
      <c r="B49" s="13"/>
      <c r="C49" s="19"/>
      <c r="D49" s="20" t="str">
        <f aca="false">IF(B49="","",IFERROR(INDEX(Compras!$H$5:$H$34,MATCH(B49,Compras!$A$5:$A$34,0)),IFERROR(INDEX(Embalagens!$C$5:$C$29,MATCH(B49,Embalagens!$A$5:$A$29,0)),"não cadastrado")))</f>
        <v/>
      </c>
      <c r="E49" s="14" t="str">
        <f aca="false">IF(ISNUMBER(D49),C49*D49,"")</f>
        <v/>
      </c>
      <c r="F49" s="21" t="str">
        <f aca="false">IF(B49="","",IF(ISNUMBER(MATCH(B49,Compras!$A$5:$A$34,0)),"Flores",IF(ISNUMBER(MATCH(B49,Embalagens!$A$5:$A$29,0)),"Embalagem","?")))</f>
        <v/>
      </c>
    </row>
    <row r="50" customFormat="false" ht="15" hidden="false" customHeight="true" outlineLevel="0" collapsed="false">
      <c r="A50" s="13"/>
      <c r="B50" s="13"/>
      <c r="C50" s="19"/>
      <c r="D50" s="20" t="str">
        <f aca="false">IF(B50="","",IFERROR(INDEX(Compras!$H$5:$H$34,MATCH(B50,Compras!$A$5:$A$34,0)),IFERROR(INDEX(Embalagens!$C$5:$C$29,MATCH(B50,Embalagens!$A$5:$A$29,0)),"não cadastrado")))</f>
        <v/>
      </c>
      <c r="E50" s="14" t="str">
        <f aca="false">IF(ISNUMBER(D50),C50*D50,"")</f>
        <v/>
      </c>
      <c r="F50" s="21" t="str">
        <f aca="false">IF(B50="","",IF(ISNUMBER(MATCH(B50,Compras!$A$5:$A$34,0)),"Flores",IF(ISNUMBER(MATCH(B50,Embalagens!$A$5:$A$29,0)),"Embalagem","?")))</f>
        <v/>
      </c>
    </row>
    <row r="51" customFormat="false" ht="15" hidden="false" customHeight="true" outlineLevel="0" collapsed="false">
      <c r="A51" s="13"/>
      <c r="B51" s="13"/>
      <c r="C51" s="19"/>
      <c r="D51" s="20" t="str">
        <f aca="false">IF(B51="","",IFERROR(INDEX(Compras!$H$5:$H$34,MATCH(B51,Compras!$A$5:$A$34,0)),IFERROR(INDEX(Embalagens!$C$5:$C$29,MATCH(B51,Embalagens!$A$5:$A$29,0)),"não cadastrado")))</f>
        <v/>
      </c>
      <c r="E51" s="14" t="str">
        <f aca="false">IF(ISNUMBER(D51),C51*D51,"")</f>
        <v/>
      </c>
      <c r="F51" s="21" t="str">
        <f aca="false">IF(B51="","",IF(ISNUMBER(MATCH(B51,Compras!$A$5:$A$34,0)),"Flores",IF(ISNUMBER(MATCH(B51,Embalagens!$A$5:$A$29,0)),"Embalagem","?")))</f>
        <v/>
      </c>
    </row>
    <row r="52" customFormat="false" ht="15" hidden="false" customHeight="true" outlineLevel="0" collapsed="false">
      <c r="A52" s="13"/>
      <c r="B52" s="13"/>
      <c r="C52" s="19"/>
      <c r="D52" s="20" t="str">
        <f aca="false">IF(B52="","",IFERROR(INDEX(Compras!$H$5:$H$34,MATCH(B52,Compras!$A$5:$A$34,0)),IFERROR(INDEX(Embalagens!$C$5:$C$29,MATCH(B52,Embalagens!$A$5:$A$29,0)),"não cadastrado")))</f>
        <v/>
      </c>
      <c r="E52" s="14" t="str">
        <f aca="false">IF(ISNUMBER(D52),C52*D52,"")</f>
        <v/>
      </c>
      <c r="F52" s="21" t="str">
        <f aca="false">IF(B52="","",IF(ISNUMBER(MATCH(B52,Compras!$A$5:$A$34,0)),"Flores",IF(ISNUMBER(MATCH(B52,Embalagens!$A$5:$A$29,0)),"Embalagem","?")))</f>
        <v/>
      </c>
    </row>
    <row r="53" customFormat="false" ht="15" hidden="false" customHeight="true" outlineLevel="0" collapsed="false">
      <c r="A53" s="13"/>
      <c r="B53" s="13"/>
      <c r="C53" s="19"/>
      <c r="D53" s="20" t="str">
        <f aca="false">IF(B53="","",IFERROR(INDEX(Compras!$H$5:$H$34,MATCH(B53,Compras!$A$5:$A$34,0)),IFERROR(INDEX(Embalagens!$C$5:$C$29,MATCH(B53,Embalagens!$A$5:$A$29,0)),"não cadastrado")))</f>
        <v/>
      </c>
      <c r="E53" s="14" t="str">
        <f aca="false">IF(ISNUMBER(D53),C53*D53,"")</f>
        <v/>
      </c>
      <c r="F53" s="21" t="str">
        <f aca="false">IF(B53="","",IF(ISNUMBER(MATCH(B53,Compras!$A$5:$A$34,0)),"Flores",IF(ISNUMBER(MATCH(B53,Embalagens!$A$5:$A$29,0)),"Embalagem","?")))</f>
        <v/>
      </c>
    </row>
    <row r="54" customFormat="false" ht="15" hidden="false" customHeight="true" outlineLevel="0" collapsed="false">
      <c r="A54" s="13"/>
      <c r="B54" s="13"/>
      <c r="C54" s="19"/>
      <c r="D54" s="20" t="str">
        <f aca="false">IF(B54="","",IFERROR(INDEX(Compras!$H$5:$H$34,MATCH(B54,Compras!$A$5:$A$34,0)),IFERROR(INDEX(Embalagens!$C$5:$C$29,MATCH(B54,Embalagens!$A$5:$A$29,0)),"não cadastrado")))</f>
        <v/>
      </c>
      <c r="E54" s="14" t="str">
        <f aca="false">IF(ISNUMBER(D54),C54*D54,"")</f>
        <v/>
      </c>
      <c r="F54" s="21" t="str">
        <f aca="false">IF(B54="","",IF(ISNUMBER(MATCH(B54,Compras!$A$5:$A$34,0)),"Flores",IF(ISNUMBER(MATCH(B54,Embalagens!$A$5:$A$29,0)),"Embalagem","?")))</f>
        <v/>
      </c>
    </row>
    <row r="55" customFormat="false" ht="15" hidden="false" customHeight="true" outlineLevel="0" collapsed="false">
      <c r="A55" s="13"/>
      <c r="B55" s="13"/>
      <c r="C55" s="19"/>
      <c r="D55" s="20" t="str">
        <f aca="false">IF(B55="","",IFERROR(INDEX(Compras!$H$5:$H$34,MATCH(B55,Compras!$A$5:$A$34,0)),IFERROR(INDEX(Embalagens!$C$5:$C$29,MATCH(B55,Embalagens!$A$5:$A$29,0)),"não cadastrado")))</f>
        <v/>
      </c>
      <c r="E55" s="14" t="str">
        <f aca="false">IF(ISNUMBER(D55),C55*D55,"")</f>
        <v/>
      </c>
      <c r="F55" s="21" t="str">
        <f aca="false">IF(B55="","",IF(ISNUMBER(MATCH(B55,Compras!$A$5:$A$34,0)),"Flores",IF(ISNUMBER(MATCH(B55,Embalagens!$A$5:$A$29,0)),"Embalagem","?")))</f>
        <v/>
      </c>
    </row>
    <row r="56" customFormat="false" ht="15" hidden="false" customHeight="true" outlineLevel="0" collapsed="false">
      <c r="A56" s="13"/>
      <c r="B56" s="13"/>
      <c r="C56" s="19"/>
      <c r="D56" s="20" t="str">
        <f aca="false">IF(B56="","",IFERROR(INDEX(Compras!$H$5:$H$34,MATCH(B56,Compras!$A$5:$A$34,0)),IFERROR(INDEX(Embalagens!$C$5:$C$29,MATCH(B56,Embalagens!$A$5:$A$29,0)),"não cadastrado")))</f>
        <v/>
      </c>
      <c r="E56" s="14" t="str">
        <f aca="false">IF(ISNUMBER(D56),C56*D56,"")</f>
        <v/>
      </c>
      <c r="F56" s="21" t="str">
        <f aca="false">IF(B56="","",IF(ISNUMBER(MATCH(B56,Compras!$A$5:$A$34,0)),"Flores",IF(ISNUMBER(MATCH(B56,Embalagens!$A$5:$A$29,0)),"Embalagem","?")))</f>
        <v/>
      </c>
    </row>
    <row r="57" customFormat="false" ht="15" hidden="false" customHeight="true" outlineLevel="0" collapsed="false">
      <c r="A57" s="13"/>
      <c r="B57" s="13"/>
      <c r="C57" s="19"/>
      <c r="D57" s="20" t="str">
        <f aca="false">IF(B57="","",IFERROR(INDEX(Compras!$H$5:$H$34,MATCH(B57,Compras!$A$5:$A$34,0)),IFERROR(INDEX(Embalagens!$C$5:$C$29,MATCH(B57,Embalagens!$A$5:$A$29,0)),"não cadastrado")))</f>
        <v/>
      </c>
      <c r="E57" s="14" t="str">
        <f aca="false">IF(ISNUMBER(D57),C57*D57,"")</f>
        <v/>
      </c>
      <c r="F57" s="21" t="str">
        <f aca="false">IF(B57="","",IF(ISNUMBER(MATCH(B57,Compras!$A$5:$A$34,0)),"Flores",IF(ISNUMBER(MATCH(B57,Embalagens!$A$5:$A$29,0)),"Embalagem","?")))</f>
        <v/>
      </c>
    </row>
    <row r="58" customFormat="false" ht="15" hidden="false" customHeight="true" outlineLevel="0" collapsed="false">
      <c r="A58" s="13"/>
      <c r="B58" s="13"/>
      <c r="C58" s="19"/>
      <c r="D58" s="20" t="str">
        <f aca="false">IF(B58="","",IFERROR(INDEX(Compras!$H$5:$H$34,MATCH(B58,Compras!$A$5:$A$34,0)),IFERROR(INDEX(Embalagens!$C$5:$C$29,MATCH(B58,Embalagens!$A$5:$A$29,0)),"não cadastrado")))</f>
        <v/>
      </c>
      <c r="E58" s="14" t="str">
        <f aca="false">IF(ISNUMBER(D58),C58*D58,"")</f>
        <v/>
      </c>
      <c r="F58" s="21" t="str">
        <f aca="false">IF(B58="","",IF(ISNUMBER(MATCH(B58,Compras!$A$5:$A$34,0)),"Flores",IF(ISNUMBER(MATCH(B58,Embalagens!$A$5:$A$29,0)),"Embalagem","?")))</f>
        <v/>
      </c>
    </row>
    <row r="59" customFormat="false" ht="15" hidden="false" customHeight="true" outlineLevel="0" collapsed="false">
      <c r="A59" s="13"/>
      <c r="B59" s="13"/>
      <c r="C59" s="19"/>
      <c r="D59" s="20" t="str">
        <f aca="false">IF(B59="","",IFERROR(INDEX(Compras!$H$5:$H$34,MATCH(B59,Compras!$A$5:$A$34,0)),IFERROR(INDEX(Embalagens!$C$5:$C$29,MATCH(B59,Embalagens!$A$5:$A$29,0)),"não cadastrado")))</f>
        <v/>
      </c>
      <c r="E59" s="14" t="str">
        <f aca="false">IF(ISNUMBER(D59),C59*D59,"")</f>
        <v/>
      </c>
      <c r="F59" s="21" t="str">
        <f aca="false">IF(B59="","",IF(ISNUMBER(MATCH(B59,Compras!$A$5:$A$34,0)),"Flores",IF(ISNUMBER(MATCH(B59,Embalagens!$A$5:$A$29,0)),"Embalagem","?")))</f>
        <v/>
      </c>
    </row>
    <row r="60" customFormat="false" ht="15" hidden="false" customHeight="true" outlineLevel="0" collapsed="false">
      <c r="A60" s="13"/>
      <c r="B60" s="13"/>
      <c r="C60" s="19"/>
      <c r="D60" s="20" t="str">
        <f aca="false">IF(B60="","",IFERROR(INDEX(Compras!$H$5:$H$34,MATCH(B60,Compras!$A$5:$A$34,0)),IFERROR(INDEX(Embalagens!$C$5:$C$29,MATCH(B60,Embalagens!$A$5:$A$29,0)),"não cadastrado")))</f>
        <v/>
      </c>
      <c r="E60" s="14" t="str">
        <f aca="false">IF(ISNUMBER(D60),C60*D60,"")</f>
        <v/>
      </c>
      <c r="F60" s="21" t="str">
        <f aca="false">IF(B60="","",IF(ISNUMBER(MATCH(B60,Compras!$A$5:$A$34,0)),"Flores",IF(ISNUMBER(MATCH(B60,Embalagens!$A$5:$A$29,0)),"Embalagem","?")))</f>
        <v/>
      </c>
    </row>
    <row r="61" customFormat="false" ht="15" hidden="false" customHeight="true" outlineLevel="0" collapsed="false">
      <c r="A61" s="13"/>
      <c r="B61" s="13"/>
      <c r="C61" s="19"/>
      <c r="D61" s="20" t="str">
        <f aca="false">IF(B61="","",IFERROR(INDEX(Compras!$H$5:$H$34,MATCH(B61,Compras!$A$5:$A$34,0)),IFERROR(INDEX(Embalagens!$C$5:$C$29,MATCH(B61,Embalagens!$A$5:$A$29,0)),"não cadastrado")))</f>
        <v/>
      </c>
      <c r="E61" s="14" t="str">
        <f aca="false">IF(ISNUMBER(D61),C61*D61,"")</f>
        <v/>
      </c>
      <c r="F61" s="21" t="str">
        <f aca="false">IF(B61="","",IF(ISNUMBER(MATCH(B61,Compras!$A$5:$A$34,0)),"Flores",IF(ISNUMBER(MATCH(B61,Embalagens!$A$5:$A$29,0)),"Embalagem","?")))</f>
        <v/>
      </c>
    </row>
    <row r="62" customFormat="false" ht="15" hidden="false" customHeight="true" outlineLevel="0" collapsed="false">
      <c r="A62" s="13"/>
      <c r="B62" s="13"/>
      <c r="C62" s="19"/>
      <c r="D62" s="20" t="str">
        <f aca="false">IF(B62="","",IFERROR(INDEX(Compras!$H$5:$H$34,MATCH(B62,Compras!$A$5:$A$34,0)),IFERROR(INDEX(Embalagens!$C$5:$C$29,MATCH(B62,Embalagens!$A$5:$A$29,0)),"não cadastrado")))</f>
        <v/>
      </c>
      <c r="E62" s="14" t="str">
        <f aca="false">IF(ISNUMBER(D62),C62*D62,"")</f>
        <v/>
      </c>
      <c r="F62" s="21" t="str">
        <f aca="false">IF(B62="","",IF(ISNUMBER(MATCH(B62,Compras!$A$5:$A$34,0)),"Flores",IF(ISNUMBER(MATCH(B62,Embalagens!$A$5:$A$29,0)),"Embalagem","?")))</f>
        <v/>
      </c>
    </row>
    <row r="63" customFormat="false" ht="15" hidden="false" customHeight="true" outlineLevel="0" collapsed="false">
      <c r="A63" s="13"/>
      <c r="B63" s="13"/>
      <c r="C63" s="19"/>
      <c r="D63" s="20" t="str">
        <f aca="false">IF(B63="","",IFERROR(INDEX(Compras!$H$5:$H$34,MATCH(B63,Compras!$A$5:$A$34,0)),IFERROR(INDEX(Embalagens!$C$5:$C$29,MATCH(B63,Embalagens!$A$5:$A$29,0)),"não cadastrado")))</f>
        <v/>
      </c>
      <c r="E63" s="14" t="str">
        <f aca="false">IF(ISNUMBER(D63),C63*D63,"")</f>
        <v/>
      </c>
      <c r="F63" s="21" t="str">
        <f aca="false">IF(B63="","",IF(ISNUMBER(MATCH(B63,Compras!$A$5:$A$34,0)),"Flores",IF(ISNUMBER(MATCH(B63,Embalagens!$A$5:$A$29,0)),"Embalagem","?")))</f>
        <v/>
      </c>
    </row>
    <row r="64" customFormat="false" ht="15" hidden="false" customHeight="true" outlineLevel="0" collapsed="false">
      <c r="A64" s="13"/>
      <c r="B64" s="13"/>
      <c r="C64" s="19"/>
      <c r="D64" s="20" t="str">
        <f aca="false">IF(B64="","",IFERROR(INDEX(Compras!$H$5:$H$34,MATCH(B64,Compras!$A$5:$A$34,0)),IFERROR(INDEX(Embalagens!$C$5:$C$29,MATCH(B64,Embalagens!$A$5:$A$29,0)),"não cadastrado")))</f>
        <v/>
      </c>
      <c r="E64" s="14" t="str">
        <f aca="false">IF(ISNUMBER(D64),C64*D64,"")</f>
        <v/>
      </c>
      <c r="F64" s="21" t="str">
        <f aca="false">IF(B64="","",IF(ISNUMBER(MATCH(B64,Compras!$A$5:$A$34,0)),"Flores",IF(ISNUMBER(MATCH(B64,Embalagens!$A$5:$A$29,0)),"Embalagem","?")))</f>
        <v/>
      </c>
    </row>
    <row r="65" customFormat="false" ht="15" hidden="false" customHeight="true" outlineLevel="0" collapsed="false">
      <c r="A65" s="13"/>
      <c r="B65" s="13"/>
      <c r="C65" s="19"/>
      <c r="D65" s="20" t="str">
        <f aca="false">IF(B65="","",IFERROR(INDEX(Compras!$H$5:$H$34,MATCH(B65,Compras!$A$5:$A$34,0)),IFERROR(INDEX(Embalagens!$C$5:$C$29,MATCH(B65,Embalagens!$A$5:$A$29,0)),"não cadastrado")))</f>
        <v/>
      </c>
      <c r="E65" s="14" t="str">
        <f aca="false">IF(ISNUMBER(D65),C65*D65,"")</f>
        <v/>
      </c>
      <c r="F65" s="21" t="str">
        <f aca="false">IF(B65="","",IF(ISNUMBER(MATCH(B65,Compras!$A$5:$A$34,0)),"Flores",IF(ISNUMBER(MATCH(B65,Embalagens!$A$5:$A$29,0)),"Embalagem","?")))</f>
        <v/>
      </c>
    </row>
    <row r="66" customFormat="false" ht="15" hidden="false" customHeight="true" outlineLevel="0" collapsed="false">
      <c r="A66" s="13"/>
      <c r="B66" s="13"/>
      <c r="C66" s="19"/>
      <c r="D66" s="20" t="str">
        <f aca="false">IF(B66="","",IFERROR(INDEX(Compras!$H$5:$H$34,MATCH(B66,Compras!$A$5:$A$34,0)),IFERROR(INDEX(Embalagens!$C$5:$C$29,MATCH(B66,Embalagens!$A$5:$A$29,0)),"não cadastrado")))</f>
        <v/>
      </c>
      <c r="E66" s="14" t="str">
        <f aca="false">IF(ISNUMBER(D66),C66*D66,"")</f>
        <v/>
      </c>
      <c r="F66" s="21" t="str">
        <f aca="false">IF(B66="","",IF(ISNUMBER(MATCH(B66,Compras!$A$5:$A$34,0)),"Flores",IF(ISNUMBER(MATCH(B66,Embalagens!$A$5:$A$29,0)),"Embalagem","?")))</f>
        <v/>
      </c>
    </row>
    <row r="67" customFormat="false" ht="15" hidden="false" customHeight="true" outlineLevel="0" collapsed="false">
      <c r="A67" s="13"/>
      <c r="B67" s="13"/>
      <c r="C67" s="19"/>
      <c r="D67" s="20" t="str">
        <f aca="false">IF(B67="","",IFERROR(INDEX(Compras!$H$5:$H$34,MATCH(B67,Compras!$A$5:$A$34,0)),IFERROR(INDEX(Embalagens!$C$5:$C$29,MATCH(B67,Embalagens!$A$5:$A$29,0)),"não cadastrado")))</f>
        <v/>
      </c>
      <c r="E67" s="14" t="str">
        <f aca="false">IF(ISNUMBER(D67),C67*D67,"")</f>
        <v/>
      </c>
      <c r="F67" s="21" t="str">
        <f aca="false">IF(B67="","",IF(ISNUMBER(MATCH(B67,Compras!$A$5:$A$34,0)),"Flores",IF(ISNUMBER(MATCH(B67,Embalagens!$A$5:$A$29,0)),"Embalagem","?")))</f>
        <v/>
      </c>
    </row>
    <row r="68" customFormat="false" ht="15" hidden="false" customHeight="true" outlineLevel="0" collapsed="false">
      <c r="A68" s="13"/>
      <c r="B68" s="13"/>
      <c r="C68" s="19"/>
      <c r="D68" s="20" t="str">
        <f aca="false">IF(B68="","",IFERROR(INDEX(Compras!$H$5:$H$34,MATCH(B68,Compras!$A$5:$A$34,0)),IFERROR(INDEX(Embalagens!$C$5:$C$29,MATCH(B68,Embalagens!$A$5:$A$29,0)),"não cadastrado")))</f>
        <v/>
      </c>
      <c r="E68" s="14" t="str">
        <f aca="false">IF(ISNUMBER(D68),C68*D68,"")</f>
        <v/>
      </c>
      <c r="F68" s="21" t="str">
        <f aca="false">IF(B68="","",IF(ISNUMBER(MATCH(B68,Compras!$A$5:$A$34,0)),"Flores",IF(ISNUMBER(MATCH(B68,Embalagens!$A$5:$A$29,0)),"Embalagem","?")))</f>
        <v/>
      </c>
    </row>
    <row r="69" customFormat="false" ht="15" hidden="false" customHeight="true" outlineLevel="0" collapsed="false">
      <c r="A69" s="13"/>
      <c r="B69" s="13"/>
      <c r="C69" s="19"/>
      <c r="D69" s="20" t="str">
        <f aca="false">IF(B69="","",IFERROR(INDEX(Compras!$H$5:$H$34,MATCH(B69,Compras!$A$5:$A$34,0)),IFERROR(INDEX(Embalagens!$C$5:$C$29,MATCH(B69,Embalagens!$A$5:$A$29,0)),"não cadastrado")))</f>
        <v/>
      </c>
      <c r="E69" s="14" t="str">
        <f aca="false">IF(ISNUMBER(D69),C69*D69,"")</f>
        <v/>
      </c>
      <c r="F69" s="21" t="str">
        <f aca="false">IF(B69="","",IF(ISNUMBER(MATCH(B69,Compras!$A$5:$A$34,0)),"Flores",IF(ISNUMBER(MATCH(B69,Embalagens!$A$5:$A$29,0)),"Embalagem","?")))</f>
        <v/>
      </c>
    </row>
    <row r="70" customFormat="false" ht="15" hidden="false" customHeight="true" outlineLevel="0" collapsed="false">
      <c r="A70" s="13"/>
      <c r="B70" s="13"/>
      <c r="C70" s="19"/>
      <c r="D70" s="20" t="str">
        <f aca="false">IF(B70="","",IFERROR(INDEX(Compras!$H$5:$H$34,MATCH(B70,Compras!$A$5:$A$34,0)),IFERROR(INDEX(Embalagens!$C$5:$C$29,MATCH(B70,Embalagens!$A$5:$A$29,0)),"não cadastrado")))</f>
        <v/>
      </c>
      <c r="E70" s="14" t="str">
        <f aca="false">IF(ISNUMBER(D70),C70*D70,"")</f>
        <v/>
      </c>
      <c r="F70" s="21" t="str">
        <f aca="false">IF(B70="","",IF(ISNUMBER(MATCH(B70,Compras!$A$5:$A$34,0)),"Flores",IF(ISNUMBER(MATCH(B70,Embalagens!$A$5:$A$29,0)),"Embalagem","?")))</f>
        <v/>
      </c>
    </row>
    <row r="71" customFormat="false" ht="15" hidden="false" customHeight="true" outlineLevel="0" collapsed="false">
      <c r="A71" s="13"/>
      <c r="B71" s="13"/>
      <c r="C71" s="19"/>
      <c r="D71" s="20" t="str">
        <f aca="false">IF(B71="","",IFERROR(INDEX(Compras!$H$5:$H$34,MATCH(B71,Compras!$A$5:$A$34,0)),IFERROR(INDEX(Embalagens!$C$5:$C$29,MATCH(B71,Embalagens!$A$5:$A$29,0)),"não cadastrado")))</f>
        <v/>
      </c>
      <c r="E71" s="14" t="str">
        <f aca="false">IF(ISNUMBER(D71),C71*D71,"")</f>
        <v/>
      </c>
      <c r="F71" s="21" t="str">
        <f aca="false">IF(B71="","",IF(ISNUMBER(MATCH(B71,Compras!$A$5:$A$34,0)),"Flores",IF(ISNUMBER(MATCH(B71,Embalagens!$A$5:$A$29,0)),"Embalagem","?")))</f>
        <v/>
      </c>
    </row>
    <row r="72" customFormat="false" ht="15" hidden="false" customHeight="true" outlineLevel="0" collapsed="false">
      <c r="A72" s="13"/>
      <c r="B72" s="13"/>
      <c r="C72" s="19"/>
      <c r="D72" s="20" t="str">
        <f aca="false">IF(B72="","",IFERROR(INDEX(Compras!$H$5:$H$34,MATCH(B72,Compras!$A$5:$A$34,0)),IFERROR(INDEX(Embalagens!$C$5:$C$29,MATCH(B72,Embalagens!$A$5:$A$29,0)),"não cadastrado")))</f>
        <v/>
      </c>
      <c r="E72" s="14" t="str">
        <f aca="false">IF(ISNUMBER(D72),C72*D72,"")</f>
        <v/>
      </c>
      <c r="F72" s="21" t="str">
        <f aca="false">IF(B72="","",IF(ISNUMBER(MATCH(B72,Compras!$A$5:$A$34,0)),"Flores",IF(ISNUMBER(MATCH(B72,Embalagens!$A$5:$A$29,0)),"Embalagem","?")))</f>
        <v/>
      </c>
    </row>
    <row r="73" customFormat="false" ht="15" hidden="false" customHeight="true" outlineLevel="0" collapsed="false">
      <c r="A73" s="13"/>
      <c r="B73" s="13"/>
      <c r="C73" s="19"/>
      <c r="D73" s="20" t="str">
        <f aca="false">IF(B73="","",IFERROR(INDEX(Compras!$H$5:$H$34,MATCH(B73,Compras!$A$5:$A$34,0)),IFERROR(INDEX(Embalagens!$C$5:$C$29,MATCH(B73,Embalagens!$A$5:$A$29,0)),"não cadastrado")))</f>
        <v/>
      </c>
      <c r="E73" s="14" t="str">
        <f aca="false">IF(ISNUMBER(D73),C73*D73,"")</f>
        <v/>
      </c>
      <c r="F73" s="21" t="str">
        <f aca="false">IF(B73="","",IF(ISNUMBER(MATCH(B73,Compras!$A$5:$A$34,0)),"Flores",IF(ISNUMBER(MATCH(B73,Embalagens!$A$5:$A$29,0)),"Embalagem","?")))</f>
        <v/>
      </c>
    </row>
    <row r="74" customFormat="false" ht="15" hidden="false" customHeight="true" outlineLevel="0" collapsed="false">
      <c r="A74" s="13"/>
      <c r="B74" s="13"/>
      <c r="C74" s="19"/>
      <c r="D74" s="20" t="str">
        <f aca="false">IF(B74="","",IFERROR(INDEX(Compras!$H$5:$H$34,MATCH(B74,Compras!$A$5:$A$34,0)),IFERROR(INDEX(Embalagens!$C$5:$C$29,MATCH(B74,Embalagens!$A$5:$A$29,0)),"não cadastrado")))</f>
        <v/>
      </c>
      <c r="E74" s="14" t="str">
        <f aca="false">IF(ISNUMBER(D74),C74*D74,"")</f>
        <v/>
      </c>
      <c r="F74" s="21" t="str">
        <f aca="false">IF(B74="","",IF(ISNUMBER(MATCH(B74,Compras!$A$5:$A$34,0)),"Flores",IF(ISNUMBER(MATCH(B74,Embalagens!$A$5:$A$29,0)),"Embalagem","?")))</f>
        <v/>
      </c>
    </row>
    <row r="75" customFormat="false" ht="15" hidden="false" customHeight="true" outlineLevel="0" collapsed="false">
      <c r="A75" s="13"/>
      <c r="B75" s="13"/>
      <c r="C75" s="19"/>
      <c r="D75" s="20" t="str">
        <f aca="false">IF(B75="","",IFERROR(INDEX(Compras!$H$5:$H$34,MATCH(B75,Compras!$A$5:$A$34,0)),IFERROR(INDEX(Embalagens!$C$5:$C$29,MATCH(B75,Embalagens!$A$5:$A$29,0)),"não cadastrado")))</f>
        <v/>
      </c>
      <c r="E75" s="14" t="str">
        <f aca="false">IF(ISNUMBER(D75),C75*D75,"")</f>
        <v/>
      </c>
      <c r="F75" s="21" t="str">
        <f aca="false">IF(B75="","",IF(ISNUMBER(MATCH(B75,Compras!$A$5:$A$34,0)),"Flores",IF(ISNUMBER(MATCH(B75,Embalagens!$A$5:$A$29,0)),"Embalagem","?")))</f>
        <v/>
      </c>
    </row>
    <row r="76" customFormat="false" ht="15" hidden="false" customHeight="true" outlineLevel="0" collapsed="false">
      <c r="A76" s="13"/>
      <c r="B76" s="13"/>
      <c r="C76" s="19"/>
      <c r="D76" s="20" t="str">
        <f aca="false">IF(B76="","",IFERROR(INDEX(Compras!$H$5:$H$34,MATCH(B76,Compras!$A$5:$A$34,0)),IFERROR(INDEX(Embalagens!$C$5:$C$29,MATCH(B76,Embalagens!$A$5:$A$29,0)),"não cadastrado")))</f>
        <v/>
      </c>
      <c r="E76" s="14" t="str">
        <f aca="false">IF(ISNUMBER(D76),C76*D76,"")</f>
        <v/>
      </c>
      <c r="F76" s="21" t="str">
        <f aca="false">IF(B76="","",IF(ISNUMBER(MATCH(B76,Compras!$A$5:$A$34,0)),"Flores",IF(ISNUMBER(MATCH(B76,Embalagens!$A$5:$A$29,0)),"Embalagem","?")))</f>
        <v/>
      </c>
    </row>
    <row r="77" customFormat="false" ht="15" hidden="false" customHeight="true" outlineLevel="0" collapsed="false">
      <c r="A77" s="13"/>
      <c r="B77" s="13"/>
      <c r="C77" s="19"/>
      <c r="D77" s="20" t="str">
        <f aca="false">IF(B77="","",IFERROR(INDEX(Compras!$H$5:$H$34,MATCH(B77,Compras!$A$5:$A$34,0)),IFERROR(INDEX(Embalagens!$C$5:$C$29,MATCH(B77,Embalagens!$A$5:$A$29,0)),"não cadastrado")))</f>
        <v/>
      </c>
      <c r="E77" s="14" t="str">
        <f aca="false">IF(ISNUMBER(D77),C77*D77,"")</f>
        <v/>
      </c>
      <c r="F77" s="21" t="str">
        <f aca="false">IF(B77="","",IF(ISNUMBER(MATCH(B77,Compras!$A$5:$A$34,0)),"Flores",IF(ISNUMBER(MATCH(B77,Embalagens!$A$5:$A$29,0)),"Embalagem","?")))</f>
        <v/>
      </c>
    </row>
    <row r="78" customFormat="false" ht="15" hidden="false" customHeight="true" outlineLevel="0" collapsed="false">
      <c r="A78" s="13"/>
      <c r="B78" s="13"/>
      <c r="C78" s="19"/>
      <c r="D78" s="20" t="str">
        <f aca="false">IF(B78="","",IFERROR(INDEX(Compras!$H$5:$H$34,MATCH(B78,Compras!$A$5:$A$34,0)),IFERROR(INDEX(Embalagens!$C$5:$C$29,MATCH(B78,Embalagens!$A$5:$A$29,0)),"não cadastrado")))</f>
        <v/>
      </c>
      <c r="E78" s="14" t="str">
        <f aca="false">IF(ISNUMBER(D78),C78*D78,"")</f>
        <v/>
      </c>
      <c r="F78" s="21" t="str">
        <f aca="false">IF(B78="","",IF(ISNUMBER(MATCH(B78,Compras!$A$5:$A$34,0)),"Flores",IF(ISNUMBER(MATCH(B78,Embalagens!$A$5:$A$29,0)),"Embalagem","?")))</f>
        <v/>
      </c>
    </row>
    <row r="79" customFormat="false" ht="15" hidden="false" customHeight="true" outlineLevel="0" collapsed="false">
      <c r="A79" s="13"/>
      <c r="B79" s="13"/>
      <c r="C79" s="19"/>
      <c r="D79" s="20" t="str">
        <f aca="false">IF(B79="","",IFERROR(INDEX(Compras!$H$5:$H$34,MATCH(B79,Compras!$A$5:$A$34,0)),IFERROR(INDEX(Embalagens!$C$5:$C$29,MATCH(B79,Embalagens!$A$5:$A$29,0)),"não cadastrado")))</f>
        <v/>
      </c>
      <c r="E79" s="14" t="str">
        <f aca="false">IF(ISNUMBER(D79),C79*D79,"")</f>
        <v/>
      </c>
      <c r="F79" s="21" t="str">
        <f aca="false">IF(B79="","",IF(ISNUMBER(MATCH(B79,Compras!$A$5:$A$34,0)),"Flores",IF(ISNUMBER(MATCH(B79,Embalagens!$A$5:$A$29,0)),"Embalagem","?")))</f>
        <v/>
      </c>
    </row>
    <row r="80" customFormat="false" ht="15" hidden="false" customHeight="true" outlineLevel="0" collapsed="false">
      <c r="A80" s="13"/>
      <c r="B80" s="13"/>
      <c r="C80" s="19"/>
      <c r="D80" s="20" t="str">
        <f aca="false">IF(B80="","",IFERROR(INDEX(Compras!$H$5:$H$34,MATCH(B80,Compras!$A$5:$A$34,0)),IFERROR(INDEX(Embalagens!$C$5:$C$29,MATCH(B80,Embalagens!$A$5:$A$29,0)),"não cadastrado")))</f>
        <v/>
      </c>
      <c r="E80" s="14" t="str">
        <f aca="false">IF(ISNUMBER(D80),C80*D80,"")</f>
        <v/>
      </c>
      <c r="F80" s="21" t="str">
        <f aca="false">IF(B80="","",IF(ISNUMBER(MATCH(B80,Compras!$A$5:$A$34,0)),"Flores",IF(ISNUMBER(MATCH(B80,Embalagens!$A$5:$A$29,0)),"Embalagem","?")))</f>
        <v/>
      </c>
    </row>
    <row r="81" customFormat="false" ht="15" hidden="false" customHeight="true" outlineLevel="0" collapsed="false">
      <c r="A81" s="13"/>
      <c r="B81" s="13"/>
      <c r="C81" s="19"/>
      <c r="D81" s="20" t="str">
        <f aca="false">IF(B81="","",IFERROR(INDEX(Compras!$H$5:$H$34,MATCH(B81,Compras!$A$5:$A$34,0)),IFERROR(INDEX(Embalagens!$C$5:$C$29,MATCH(B81,Embalagens!$A$5:$A$29,0)),"não cadastrado")))</f>
        <v/>
      </c>
      <c r="E81" s="14" t="str">
        <f aca="false">IF(ISNUMBER(D81),C81*D81,"")</f>
        <v/>
      </c>
      <c r="F81" s="21" t="str">
        <f aca="false">IF(B81="","",IF(ISNUMBER(MATCH(B81,Compras!$A$5:$A$34,0)),"Flores",IF(ISNUMBER(MATCH(B81,Embalagens!$A$5:$A$29,0)),"Embalagem","?")))</f>
        <v/>
      </c>
    </row>
    <row r="82" customFormat="false" ht="15" hidden="false" customHeight="true" outlineLevel="0" collapsed="false">
      <c r="A82" s="13"/>
      <c r="B82" s="13"/>
      <c r="C82" s="19"/>
      <c r="D82" s="20" t="str">
        <f aca="false">IF(B82="","",IFERROR(INDEX(Compras!$H$5:$H$34,MATCH(B82,Compras!$A$5:$A$34,0)),IFERROR(INDEX(Embalagens!$C$5:$C$29,MATCH(B82,Embalagens!$A$5:$A$29,0)),"não cadastrado")))</f>
        <v/>
      </c>
      <c r="E82" s="14" t="str">
        <f aca="false">IF(ISNUMBER(D82),C82*D82,"")</f>
        <v/>
      </c>
      <c r="F82" s="21" t="str">
        <f aca="false">IF(B82="","",IF(ISNUMBER(MATCH(B82,Compras!$A$5:$A$34,0)),"Flores",IF(ISNUMBER(MATCH(B82,Embalagens!$A$5:$A$29,0)),"Embalagem","?")))</f>
        <v/>
      </c>
    </row>
    <row r="83" customFormat="false" ht="15" hidden="false" customHeight="true" outlineLevel="0" collapsed="false">
      <c r="A83" s="13"/>
      <c r="B83" s="13"/>
      <c r="C83" s="19"/>
      <c r="D83" s="20" t="str">
        <f aca="false">IF(B83="","",IFERROR(INDEX(Compras!$H$5:$H$34,MATCH(B83,Compras!$A$5:$A$34,0)),IFERROR(INDEX(Embalagens!$C$5:$C$29,MATCH(B83,Embalagens!$A$5:$A$29,0)),"não cadastrado")))</f>
        <v/>
      </c>
      <c r="E83" s="14" t="str">
        <f aca="false">IF(ISNUMBER(D83),C83*D83,"")</f>
        <v/>
      </c>
      <c r="F83" s="21" t="str">
        <f aca="false">IF(B83="","",IF(ISNUMBER(MATCH(B83,Compras!$A$5:$A$34,0)),"Flores",IF(ISNUMBER(MATCH(B83,Embalagens!$A$5:$A$29,0)),"Embalagem","?")))</f>
        <v/>
      </c>
    </row>
    <row r="84" customFormat="false" ht="15" hidden="false" customHeight="true" outlineLevel="0" collapsed="false">
      <c r="A84" s="13"/>
      <c r="B84" s="13"/>
      <c r="C84" s="19"/>
      <c r="D84" s="20" t="str">
        <f aca="false">IF(B84="","",IFERROR(INDEX(Compras!$H$5:$H$34,MATCH(B84,Compras!$A$5:$A$34,0)),IFERROR(INDEX(Embalagens!$C$5:$C$29,MATCH(B84,Embalagens!$A$5:$A$29,0)),"não cadastrado")))</f>
        <v/>
      </c>
      <c r="E84" s="14" t="str">
        <f aca="false">IF(ISNUMBER(D84),C84*D84,"")</f>
        <v/>
      </c>
      <c r="F84" s="21" t="str">
        <f aca="false">IF(B84="","",IF(ISNUMBER(MATCH(B84,Compras!$A$5:$A$34,0)),"Flores",IF(ISNUMBER(MATCH(B84,Embalagens!$A$5:$A$29,0)),"Embalagem","?")))</f>
        <v/>
      </c>
    </row>
    <row r="85" customFormat="false" ht="15" hidden="false" customHeight="true" outlineLevel="0" collapsed="false">
      <c r="A85" s="13"/>
      <c r="B85" s="13"/>
      <c r="C85" s="19"/>
      <c r="D85" s="20" t="str">
        <f aca="false">IF(B85="","",IFERROR(INDEX(Compras!$H$5:$H$34,MATCH(B85,Compras!$A$5:$A$34,0)),IFERROR(INDEX(Embalagens!$C$5:$C$29,MATCH(B85,Embalagens!$A$5:$A$29,0)),"não cadastrado")))</f>
        <v/>
      </c>
      <c r="E85" s="14" t="str">
        <f aca="false">IF(ISNUMBER(D85),C85*D85,"")</f>
        <v/>
      </c>
      <c r="F85" s="21" t="str">
        <f aca="false">IF(B85="","",IF(ISNUMBER(MATCH(B85,Compras!$A$5:$A$34,0)),"Flores",IF(ISNUMBER(MATCH(B85,Embalagens!$A$5:$A$29,0)),"Embalagem","?")))</f>
        <v/>
      </c>
    </row>
    <row r="86" customFormat="false" ht="15" hidden="false" customHeight="true" outlineLevel="0" collapsed="false">
      <c r="A86" s="13"/>
      <c r="B86" s="13"/>
      <c r="C86" s="19"/>
      <c r="D86" s="20" t="str">
        <f aca="false">IF(B86="","",IFERROR(INDEX(Compras!$H$5:$H$34,MATCH(B86,Compras!$A$5:$A$34,0)),IFERROR(INDEX(Embalagens!$C$5:$C$29,MATCH(B86,Embalagens!$A$5:$A$29,0)),"não cadastrado")))</f>
        <v/>
      </c>
      <c r="E86" s="14" t="str">
        <f aca="false">IF(ISNUMBER(D86),C86*D86,"")</f>
        <v/>
      </c>
      <c r="F86" s="21" t="str">
        <f aca="false">IF(B86="","",IF(ISNUMBER(MATCH(B86,Compras!$A$5:$A$34,0)),"Flores",IF(ISNUMBER(MATCH(B86,Embalagens!$A$5:$A$29,0)),"Embalagem","?")))</f>
        <v/>
      </c>
    </row>
    <row r="87" customFormat="false" ht="15" hidden="false" customHeight="true" outlineLevel="0" collapsed="false">
      <c r="A87" s="13"/>
      <c r="B87" s="13"/>
      <c r="C87" s="19"/>
      <c r="D87" s="20" t="str">
        <f aca="false">IF(B87="","",IFERROR(INDEX(Compras!$H$5:$H$34,MATCH(B87,Compras!$A$5:$A$34,0)),IFERROR(INDEX(Embalagens!$C$5:$C$29,MATCH(B87,Embalagens!$A$5:$A$29,0)),"não cadastrado")))</f>
        <v/>
      </c>
      <c r="E87" s="14" t="str">
        <f aca="false">IF(ISNUMBER(D87),C87*D87,"")</f>
        <v/>
      </c>
      <c r="F87" s="21" t="str">
        <f aca="false">IF(B87="","",IF(ISNUMBER(MATCH(B87,Compras!$A$5:$A$34,0)),"Flores",IF(ISNUMBER(MATCH(B87,Embalagens!$A$5:$A$29,0)),"Embalagem","?")))</f>
        <v/>
      </c>
    </row>
    <row r="88" customFormat="false" ht="15" hidden="false" customHeight="true" outlineLevel="0" collapsed="false">
      <c r="A88" s="13"/>
      <c r="B88" s="13"/>
      <c r="C88" s="19"/>
      <c r="D88" s="20" t="str">
        <f aca="false">IF(B88="","",IFERROR(INDEX(Compras!$H$5:$H$34,MATCH(B88,Compras!$A$5:$A$34,0)),IFERROR(INDEX(Embalagens!$C$5:$C$29,MATCH(B88,Embalagens!$A$5:$A$29,0)),"não cadastrado")))</f>
        <v/>
      </c>
      <c r="E88" s="14" t="str">
        <f aca="false">IF(ISNUMBER(D88),C88*D88,"")</f>
        <v/>
      </c>
      <c r="F88" s="21" t="str">
        <f aca="false">IF(B88="","",IF(ISNUMBER(MATCH(B88,Compras!$A$5:$A$34,0)),"Flores",IF(ISNUMBER(MATCH(B88,Embalagens!$A$5:$A$29,0)),"Embalagem","?")))</f>
        <v/>
      </c>
    </row>
    <row r="89" customFormat="false" ht="15" hidden="false" customHeight="true" outlineLevel="0" collapsed="false">
      <c r="A89" s="13"/>
      <c r="B89" s="13"/>
      <c r="C89" s="19"/>
      <c r="D89" s="20" t="str">
        <f aca="false">IF(B89="","",IFERROR(INDEX(Compras!$H$5:$H$34,MATCH(B89,Compras!$A$5:$A$34,0)),IFERROR(INDEX(Embalagens!$C$5:$C$29,MATCH(B89,Embalagens!$A$5:$A$29,0)),"não cadastrado")))</f>
        <v/>
      </c>
      <c r="E89" s="14" t="str">
        <f aca="false">IF(ISNUMBER(D89),C89*D89,"")</f>
        <v/>
      </c>
      <c r="F89" s="21" t="str">
        <f aca="false">IF(B89="","",IF(ISNUMBER(MATCH(B89,Compras!$A$5:$A$34,0)),"Flores",IF(ISNUMBER(MATCH(B89,Embalagens!$A$5:$A$29,0)),"Embalagem","?")))</f>
        <v/>
      </c>
    </row>
    <row r="90" customFormat="false" ht="15" hidden="false" customHeight="true" outlineLevel="0" collapsed="false">
      <c r="A90" s="13"/>
      <c r="B90" s="13"/>
      <c r="C90" s="19"/>
      <c r="D90" s="20" t="str">
        <f aca="false">IF(B90="","",IFERROR(INDEX(Compras!$H$5:$H$34,MATCH(B90,Compras!$A$5:$A$34,0)),IFERROR(INDEX(Embalagens!$C$5:$C$29,MATCH(B90,Embalagens!$A$5:$A$29,0)),"não cadastrado")))</f>
        <v/>
      </c>
      <c r="E90" s="14" t="str">
        <f aca="false">IF(ISNUMBER(D90),C90*D90,"")</f>
        <v/>
      </c>
      <c r="F90" s="21" t="str">
        <f aca="false">IF(B90="","",IF(ISNUMBER(MATCH(B90,Compras!$A$5:$A$34,0)),"Flores",IF(ISNUMBER(MATCH(B90,Embalagens!$A$5:$A$29,0)),"Embalagem","?")))</f>
        <v/>
      </c>
    </row>
    <row r="91" customFormat="false" ht="15" hidden="false" customHeight="true" outlineLevel="0" collapsed="false">
      <c r="A91" s="13"/>
      <c r="B91" s="13"/>
      <c r="C91" s="19"/>
      <c r="D91" s="20" t="str">
        <f aca="false">IF(B91="","",IFERROR(INDEX(Compras!$H$5:$H$34,MATCH(B91,Compras!$A$5:$A$34,0)),IFERROR(INDEX(Embalagens!$C$5:$C$29,MATCH(B91,Embalagens!$A$5:$A$29,0)),"não cadastrado")))</f>
        <v/>
      </c>
      <c r="E91" s="14" t="str">
        <f aca="false">IF(ISNUMBER(D91),C91*D91,"")</f>
        <v/>
      </c>
      <c r="F91" s="21" t="str">
        <f aca="false">IF(B91="","",IF(ISNUMBER(MATCH(B91,Compras!$A$5:$A$34,0)),"Flores",IF(ISNUMBER(MATCH(B91,Embalagens!$A$5:$A$29,0)),"Embalagem","?")))</f>
        <v/>
      </c>
    </row>
    <row r="92" customFormat="false" ht="15" hidden="false" customHeight="true" outlineLevel="0" collapsed="false">
      <c r="A92" s="13"/>
      <c r="B92" s="13"/>
      <c r="C92" s="19"/>
      <c r="D92" s="20" t="str">
        <f aca="false">IF(B92="","",IFERROR(INDEX(Compras!$H$5:$H$34,MATCH(B92,Compras!$A$5:$A$34,0)),IFERROR(INDEX(Embalagens!$C$5:$C$29,MATCH(B92,Embalagens!$A$5:$A$29,0)),"não cadastrado")))</f>
        <v/>
      </c>
      <c r="E92" s="14" t="str">
        <f aca="false">IF(ISNUMBER(D92),C92*D92,"")</f>
        <v/>
      </c>
      <c r="F92" s="21" t="str">
        <f aca="false">IF(B92="","",IF(ISNUMBER(MATCH(B92,Compras!$A$5:$A$34,0)),"Flores",IF(ISNUMBER(MATCH(B92,Embalagens!$A$5:$A$29,0)),"Embalagem","?")))</f>
        <v/>
      </c>
    </row>
    <row r="93" customFormat="false" ht="15" hidden="false" customHeight="true" outlineLevel="0" collapsed="false">
      <c r="A93" s="13"/>
      <c r="B93" s="13"/>
      <c r="C93" s="19"/>
      <c r="D93" s="20" t="str">
        <f aca="false">IF(B93="","",IFERROR(INDEX(Compras!$H$5:$H$34,MATCH(B93,Compras!$A$5:$A$34,0)),IFERROR(INDEX(Embalagens!$C$5:$C$29,MATCH(B93,Embalagens!$A$5:$A$29,0)),"não cadastrado")))</f>
        <v/>
      </c>
      <c r="E93" s="14" t="str">
        <f aca="false">IF(ISNUMBER(D93),C93*D93,"")</f>
        <v/>
      </c>
      <c r="F93" s="21" t="str">
        <f aca="false">IF(B93="","",IF(ISNUMBER(MATCH(B93,Compras!$A$5:$A$34,0)),"Flores",IF(ISNUMBER(MATCH(B93,Embalagens!$A$5:$A$29,0)),"Embalagem","?")))</f>
        <v/>
      </c>
    </row>
    <row r="94" customFormat="false" ht="15" hidden="false" customHeight="true" outlineLevel="0" collapsed="false">
      <c r="A94" s="13"/>
      <c r="B94" s="13"/>
      <c r="C94" s="19"/>
      <c r="D94" s="20" t="str">
        <f aca="false">IF(B94="","",IFERROR(INDEX(Compras!$H$5:$H$34,MATCH(B94,Compras!$A$5:$A$34,0)),IFERROR(INDEX(Embalagens!$C$5:$C$29,MATCH(B94,Embalagens!$A$5:$A$29,0)),"não cadastrado")))</f>
        <v/>
      </c>
      <c r="E94" s="14" t="str">
        <f aca="false">IF(ISNUMBER(D94),C94*D94,"")</f>
        <v/>
      </c>
      <c r="F94" s="21" t="str">
        <f aca="false">IF(B94="","",IF(ISNUMBER(MATCH(B94,Compras!$A$5:$A$34,0)),"Flores",IF(ISNUMBER(MATCH(B94,Embalagens!$A$5:$A$29,0)),"Embalagem","?")))</f>
        <v/>
      </c>
    </row>
    <row r="95" customFormat="false" ht="15" hidden="false" customHeight="true" outlineLevel="0" collapsed="false">
      <c r="A95" s="13"/>
      <c r="B95" s="13"/>
      <c r="C95" s="19"/>
      <c r="D95" s="20" t="str">
        <f aca="false">IF(B95="","",IFERROR(INDEX(Compras!$H$5:$H$34,MATCH(B95,Compras!$A$5:$A$34,0)),IFERROR(INDEX(Embalagens!$C$5:$C$29,MATCH(B95,Embalagens!$A$5:$A$29,0)),"não cadastrado")))</f>
        <v/>
      </c>
      <c r="E95" s="14" t="str">
        <f aca="false">IF(ISNUMBER(D95),C95*D95,"")</f>
        <v/>
      </c>
      <c r="F95" s="21" t="str">
        <f aca="false">IF(B95="","",IF(ISNUMBER(MATCH(B95,Compras!$A$5:$A$34,0)),"Flores",IF(ISNUMBER(MATCH(B95,Embalagens!$A$5:$A$29,0)),"Embalagem","?")))</f>
        <v/>
      </c>
    </row>
    <row r="96" customFormat="false" ht="15" hidden="false" customHeight="true" outlineLevel="0" collapsed="false">
      <c r="A96" s="13"/>
      <c r="B96" s="13"/>
      <c r="C96" s="19"/>
      <c r="D96" s="20" t="str">
        <f aca="false">IF(B96="","",IFERROR(INDEX(Compras!$H$5:$H$34,MATCH(B96,Compras!$A$5:$A$34,0)),IFERROR(INDEX(Embalagens!$C$5:$C$29,MATCH(B96,Embalagens!$A$5:$A$29,0)),"não cadastrado")))</f>
        <v/>
      </c>
      <c r="E96" s="14" t="str">
        <f aca="false">IF(ISNUMBER(D96),C96*D96,"")</f>
        <v/>
      </c>
      <c r="F96" s="21" t="str">
        <f aca="false">IF(B96="","",IF(ISNUMBER(MATCH(B96,Compras!$A$5:$A$34,0)),"Flores",IF(ISNUMBER(MATCH(B96,Embalagens!$A$5:$A$29,0)),"Embalagem","?")))</f>
        <v/>
      </c>
    </row>
    <row r="97" customFormat="false" ht="15" hidden="false" customHeight="true" outlineLevel="0" collapsed="false">
      <c r="A97" s="13"/>
      <c r="B97" s="13"/>
      <c r="C97" s="19"/>
      <c r="D97" s="20" t="str">
        <f aca="false">IF(B97="","",IFERROR(INDEX(Compras!$H$5:$H$34,MATCH(B97,Compras!$A$5:$A$34,0)),IFERROR(INDEX(Embalagens!$C$5:$C$29,MATCH(B97,Embalagens!$A$5:$A$29,0)),"não cadastrado")))</f>
        <v/>
      </c>
      <c r="E97" s="14" t="str">
        <f aca="false">IF(ISNUMBER(D97),C97*D97,"")</f>
        <v/>
      </c>
      <c r="F97" s="21" t="str">
        <f aca="false">IF(B97="","",IF(ISNUMBER(MATCH(B97,Compras!$A$5:$A$34,0)),"Flores",IF(ISNUMBER(MATCH(B97,Embalagens!$A$5:$A$29,0)),"Embalagem","?")))</f>
        <v/>
      </c>
    </row>
    <row r="98" customFormat="false" ht="15" hidden="false" customHeight="true" outlineLevel="0" collapsed="false">
      <c r="A98" s="13"/>
      <c r="B98" s="13"/>
      <c r="C98" s="19"/>
      <c r="D98" s="20" t="str">
        <f aca="false">IF(B98="","",IFERROR(INDEX(Compras!$H$5:$H$34,MATCH(B98,Compras!$A$5:$A$34,0)),IFERROR(INDEX(Embalagens!$C$5:$C$29,MATCH(B98,Embalagens!$A$5:$A$29,0)),"não cadastrado")))</f>
        <v/>
      </c>
      <c r="E98" s="14" t="str">
        <f aca="false">IF(ISNUMBER(D98),C98*D98,"")</f>
        <v/>
      </c>
      <c r="F98" s="21" t="str">
        <f aca="false">IF(B98="","",IF(ISNUMBER(MATCH(B98,Compras!$A$5:$A$34,0)),"Flores",IF(ISNUMBER(MATCH(B98,Embalagens!$A$5:$A$29,0)),"Embalagem","?")))</f>
        <v/>
      </c>
    </row>
    <row r="99" customFormat="false" ht="15" hidden="false" customHeight="true" outlineLevel="0" collapsed="false">
      <c r="A99" s="13"/>
      <c r="B99" s="13"/>
      <c r="C99" s="19"/>
      <c r="D99" s="20" t="str">
        <f aca="false">IF(B99="","",IFERROR(INDEX(Compras!$H$5:$H$34,MATCH(B99,Compras!$A$5:$A$34,0)),IFERROR(INDEX(Embalagens!$C$5:$C$29,MATCH(B99,Embalagens!$A$5:$A$29,0)),"não cadastrado")))</f>
        <v/>
      </c>
      <c r="E99" s="14" t="str">
        <f aca="false">IF(ISNUMBER(D99),C99*D99,"")</f>
        <v/>
      </c>
      <c r="F99" s="21" t="str">
        <f aca="false">IF(B99="","",IF(ISNUMBER(MATCH(B99,Compras!$A$5:$A$34,0)),"Flores",IF(ISNUMBER(MATCH(B99,Embalagens!$A$5:$A$29,0)),"Embalagem","?")))</f>
        <v/>
      </c>
    </row>
    <row r="100" customFormat="false" ht="15" hidden="false" customHeight="true" outlineLevel="0" collapsed="false">
      <c r="A100" s="13"/>
      <c r="B100" s="13"/>
      <c r="C100" s="19"/>
      <c r="D100" s="20" t="str">
        <f aca="false">IF(B100="","",IFERROR(INDEX(Compras!$H$5:$H$34,MATCH(B100,Compras!$A$5:$A$34,0)),IFERROR(INDEX(Embalagens!$C$5:$C$29,MATCH(B100,Embalagens!$A$5:$A$29,0)),"não cadastrado")))</f>
        <v/>
      </c>
      <c r="E100" s="14" t="str">
        <f aca="false">IF(ISNUMBER(D100),C100*D100,"")</f>
        <v/>
      </c>
      <c r="F100" s="21" t="str">
        <f aca="false">IF(B100="","",IF(ISNUMBER(MATCH(B100,Compras!$A$5:$A$34,0)),"Flores",IF(ISNUMBER(MATCH(B100,Embalagens!$A$5:$A$29,0)),"Embalagem","?")))</f>
        <v/>
      </c>
    </row>
    <row r="101" customFormat="false" ht="15" hidden="false" customHeight="true" outlineLevel="0" collapsed="false">
      <c r="A101" s="13"/>
      <c r="B101" s="13"/>
      <c r="C101" s="19"/>
      <c r="D101" s="20" t="str">
        <f aca="false">IF(B101="","",IFERROR(INDEX(Compras!$H$5:$H$34,MATCH(B101,Compras!$A$5:$A$34,0)),IFERROR(INDEX(Embalagens!$C$5:$C$29,MATCH(B101,Embalagens!$A$5:$A$29,0)),"não cadastrado")))</f>
        <v/>
      </c>
      <c r="E101" s="14" t="str">
        <f aca="false">IF(ISNUMBER(D101),C101*D101,"")</f>
        <v/>
      </c>
      <c r="F101" s="21" t="str">
        <f aca="false">IF(B101="","",IF(ISNUMBER(MATCH(B101,Compras!$A$5:$A$34,0)),"Flores",IF(ISNUMBER(MATCH(B101,Embalagens!$A$5:$A$29,0)),"Embalagem","?")))</f>
        <v/>
      </c>
    </row>
    <row r="102" customFormat="false" ht="15" hidden="false" customHeight="true" outlineLevel="0" collapsed="false">
      <c r="A102" s="13"/>
      <c r="B102" s="13"/>
      <c r="C102" s="19"/>
      <c r="D102" s="20" t="str">
        <f aca="false">IF(B102="","",IFERROR(INDEX(Compras!$H$5:$H$34,MATCH(B102,Compras!$A$5:$A$34,0)),IFERROR(INDEX(Embalagens!$C$5:$C$29,MATCH(B102,Embalagens!$A$5:$A$29,0)),"não cadastrado")))</f>
        <v/>
      </c>
      <c r="E102" s="14" t="str">
        <f aca="false">IF(ISNUMBER(D102),C102*D102,"")</f>
        <v/>
      </c>
      <c r="F102" s="21" t="str">
        <f aca="false">IF(B102="","",IF(ISNUMBER(MATCH(B102,Compras!$A$5:$A$34,0)),"Flores",IF(ISNUMBER(MATCH(B102,Embalagens!$A$5:$A$29,0)),"Embalagem","?")))</f>
        <v/>
      </c>
    </row>
    <row r="103" customFormat="false" ht="15" hidden="false" customHeight="true" outlineLevel="0" collapsed="false">
      <c r="A103" s="13"/>
      <c r="B103" s="13"/>
      <c r="C103" s="19"/>
      <c r="D103" s="20" t="str">
        <f aca="false">IF(B103="","",IFERROR(INDEX(Compras!$H$5:$H$34,MATCH(B103,Compras!$A$5:$A$34,0)),IFERROR(INDEX(Embalagens!$C$5:$C$29,MATCH(B103,Embalagens!$A$5:$A$29,0)),"não cadastrado")))</f>
        <v/>
      </c>
      <c r="E103" s="14" t="str">
        <f aca="false">IF(ISNUMBER(D103),C103*D103,"")</f>
        <v/>
      </c>
      <c r="F103" s="21" t="str">
        <f aca="false">IF(B103="","",IF(ISNUMBER(MATCH(B103,Compras!$A$5:$A$34,0)),"Flores",IF(ISNUMBER(MATCH(B103,Embalagens!$A$5:$A$29,0)),"Embalagem","?")))</f>
        <v/>
      </c>
    </row>
    <row r="104" customFormat="false" ht="15" hidden="false" customHeight="true" outlineLevel="0" collapsed="false">
      <c r="A104" s="13"/>
      <c r="B104" s="13"/>
      <c r="C104" s="19"/>
      <c r="D104" s="20" t="str">
        <f aca="false">IF(B104="","",IFERROR(INDEX(Compras!$H$5:$H$34,MATCH(B104,Compras!$A$5:$A$34,0)),IFERROR(INDEX(Embalagens!$C$5:$C$29,MATCH(B104,Embalagens!$A$5:$A$29,0)),"não cadastrado")))</f>
        <v/>
      </c>
      <c r="E104" s="14" t="str">
        <f aca="false">IF(ISNUMBER(D104),C104*D104,"")</f>
        <v/>
      </c>
      <c r="F104" s="21" t="str">
        <f aca="false">IF(B104="","",IF(ISNUMBER(MATCH(B104,Compras!$A$5:$A$34,0)),"Flores",IF(ISNUMBER(MATCH(B104,Embalagens!$A$5:$A$29,0)),"Embalagem","?")))</f>
        <v/>
      </c>
    </row>
  </sheetData>
  <dataValidations count="1">
    <dataValidation allowBlank="true" errorStyle="stop" operator="between" showDropDown="false" showErrorMessage="false" showInputMessage="false" sqref="A5:A104" type="list">
      <formula1>Precificação!$A$6:$A$20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2"/>
    <col collapsed="false" customWidth="true" hidden="false" outlineLevel="0" max="2" min="2" style="1" width="10"/>
    <col collapsed="false" customWidth="true" hidden="false" outlineLevel="0" max="3" min="3" style="1" width="13"/>
    <col collapsed="false" customWidth="true" hidden="false" outlineLevel="0" max="4" min="4" style="1" width="12"/>
    <col collapsed="false" customWidth="true" hidden="false" outlineLevel="0" max="5" min="5" style="1" width="13"/>
    <col collapsed="false" customWidth="true" hidden="false" outlineLevel="0" max="7" min="6" style="1" width="12"/>
    <col collapsed="false" customWidth="true" hidden="false" outlineLevel="0" max="8" min="8" style="1" width="15"/>
    <col collapsed="false" customWidth="true" hidden="false" outlineLevel="0" max="11" min="9" style="1" width="13"/>
    <col collapsed="false" customWidth="true" hidden="false" outlineLevel="0" max="13" min="12" style="1" width="12"/>
    <col collapsed="false" customWidth="true" hidden="false" outlineLevel="0" max="14" min="14" style="1" width="13"/>
    <col collapsed="false" customWidth="true" hidden="false" outlineLevel="0" max="15" min="15" style="1" width="14"/>
  </cols>
  <sheetData>
    <row r="1" customFormat="false" ht="17.25" hidden="false" customHeight="true" outlineLevel="0" collapsed="false">
      <c r="A1" s="2" t="s">
        <v>127</v>
      </c>
    </row>
    <row r="2" customFormat="false" ht="15" hidden="false" customHeight="true" outlineLevel="0" collapsed="false">
      <c r="A2" s="8" t="s">
        <v>128</v>
      </c>
    </row>
    <row r="5" customFormat="false" ht="31.5" hidden="false" customHeight="true" outlineLevel="0" collapsed="false">
      <c r="A5" s="9" t="s">
        <v>119</v>
      </c>
      <c r="B5" s="9" t="s">
        <v>129</v>
      </c>
      <c r="C5" s="9" t="s">
        <v>130</v>
      </c>
      <c r="D5" s="9" t="s">
        <v>131</v>
      </c>
      <c r="E5" s="9" t="s">
        <v>132</v>
      </c>
      <c r="F5" s="9" t="s">
        <v>133</v>
      </c>
      <c r="G5" s="9" t="s">
        <v>134</v>
      </c>
      <c r="H5" s="9" t="s">
        <v>135</v>
      </c>
      <c r="I5" s="9" t="s">
        <v>136</v>
      </c>
      <c r="J5" s="9" t="s">
        <v>137</v>
      </c>
      <c r="K5" s="9" t="s">
        <v>138</v>
      </c>
      <c r="L5" s="9" t="s">
        <v>139</v>
      </c>
      <c r="M5" s="9" t="s">
        <v>140</v>
      </c>
      <c r="N5" s="9" t="s">
        <v>141</v>
      </c>
      <c r="O5" s="9" t="s">
        <v>142</v>
      </c>
    </row>
    <row r="6" customFormat="false" ht="15" hidden="false" customHeight="true" outlineLevel="0" collapsed="false">
      <c r="A6" s="13" t="s">
        <v>123</v>
      </c>
      <c r="B6" s="11" t="n">
        <v>20</v>
      </c>
      <c r="C6" s="20" t="n">
        <f aca="false">IF($A6="","",SUMIFS('Fichas técnicas'!$E$5:$E$104,'Fichas técnicas'!$A$5:$A$104,$A6,'Fichas técnicas'!$F$5:$F$104,"Flores"))</f>
        <v>81.7320261437909</v>
      </c>
      <c r="D6" s="20" t="n">
        <f aca="false">IF($A6="","",SUMIFS('Fichas técnicas'!$E$5:$E$104,'Fichas técnicas'!$A$5:$A$104,$A6,'Fichas técnicas'!$F$5:$F$104,"Embalagem"))</f>
        <v>11</v>
      </c>
      <c r="E6" s="14" t="n">
        <f aca="false">IF($A6="","",C6+D6)</f>
        <v>92.7320261437909</v>
      </c>
      <c r="F6" s="20" t="n">
        <f aca="false">IF($A6="","",B6/60*Despesas!$B$10)</f>
        <v>10.5454545454545</v>
      </c>
      <c r="G6" s="20" t="n">
        <f aca="false">IF($A6="","",E6*Despesas!$B$30)</f>
        <v>51.8737006789418</v>
      </c>
      <c r="H6" s="22" t="n">
        <f aca="false">IF($A6="","",E6+F6+G6)</f>
        <v>155.151181368187</v>
      </c>
      <c r="I6" s="20" t="n">
        <f aca="false">IF($A6="","",H6/(1-Parâmetros!$B$10-Parâmetros!$B$8))</f>
        <v>221.644544811696</v>
      </c>
      <c r="J6" s="18" t="n">
        <f aca="false">IF($A6="","",ROUNDUP(I6/Parâmetros!$B$9,0)*Parâmetros!$B$9)</f>
        <v>225</v>
      </c>
      <c r="K6" s="20" t="n">
        <f aca="false">IF($A6="","",J6*Parâmetros!$B$10)</f>
        <v>22.5</v>
      </c>
      <c r="L6" s="14" t="n">
        <f aca="false">IF($A6="","",J6-H6-K6)</f>
        <v>47.3488186318128</v>
      </c>
      <c r="M6" s="12" t="n">
        <f aca="false">IF($A6="","",IFERROR(L6/J6,0))</f>
        <v>0.210439193919168</v>
      </c>
      <c r="N6" s="12" t="n">
        <f aca="false">IF($A6="","",IFERROR((J6-H6)/H6,0))</f>
        <v>0.450198432366786</v>
      </c>
      <c r="O6" s="14" t="n">
        <f aca="false">IF($A6="","",J6-E6-K6)</f>
        <v>109.767973856209</v>
      </c>
    </row>
    <row r="7" customFormat="false" ht="15" hidden="false" customHeight="true" outlineLevel="0" collapsed="false">
      <c r="A7" s="13" t="s">
        <v>124</v>
      </c>
      <c r="B7" s="11" t="n">
        <v>15</v>
      </c>
      <c r="C7" s="20" t="n">
        <f aca="false">IF($A7="","",SUMIFS('Fichas técnicas'!$E$5:$E$104,'Fichas técnicas'!$A$5:$A$104,$A7,'Fichas técnicas'!$F$5:$F$104,"Flores"))</f>
        <v>33.4444444444444</v>
      </c>
      <c r="D7" s="20" t="n">
        <f aca="false">IF($A7="","",SUMIFS('Fichas técnicas'!$E$5:$E$104,'Fichas técnicas'!$A$5:$A$104,$A7,'Fichas técnicas'!$F$5:$F$104,"Embalagem"))</f>
        <v>6.5</v>
      </c>
      <c r="E7" s="14" t="n">
        <f aca="false">IF($A7="","",C7+D7)</f>
        <v>39.9444444444444</v>
      </c>
      <c r="F7" s="20" t="n">
        <f aca="false">IF($A7="","",B7/60*Despesas!$B$10)</f>
        <v>7.90909090909091</v>
      </c>
      <c r="G7" s="20" t="n">
        <f aca="false">IF($A7="","",E7*Despesas!$B$30)</f>
        <v>22.3446660346316</v>
      </c>
      <c r="H7" s="22" t="n">
        <f aca="false">IF($A7="","",E7+F7+G7)</f>
        <v>70.1982013881669</v>
      </c>
      <c r="I7" s="20" t="n">
        <f aca="false">IF($A7="","",H7/(1-Parâmetros!$B$10-Parâmetros!$B$8))</f>
        <v>100.283144840238</v>
      </c>
      <c r="J7" s="18" t="n">
        <f aca="false">IF($A7="","",ROUNDUP(I7/Parâmetros!$B$9,0)*Parâmetros!$B$9)</f>
        <v>105</v>
      </c>
      <c r="K7" s="20" t="n">
        <f aca="false">IF($A7="","",J7*Parâmetros!$B$10)</f>
        <v>10.5</v>
      </c>
      <c r="L7" s="14" t="n">
        <f aca="false">IF($A7="","",J7-H7-K7)</f>
        <v>24.3017986118331</v>
      </c>
      <c r="M7" s="12" t="n">
        <f aca="false">IF($A7="","",IFERROR(L7/J7,0))</f>
        <v>0.231445701065077</v>
      </c>
      <c r="N7" s="12" t="n">
        <f aca="false">IF($A7="","",IFERROR((J7-H7)/H7,0))</f>
        <v>0.495764819092637</v>
      </c>
      <c r="O7" s="14" t="n">
        <f aca="false">IF($A7="","",J7-E7-K7)</f>
        <v>54.5555555555556</v>
      </c>
    </row>
    <row r="8" customFormat="false" ht="15" hidden="false" customHeight="true" outlineLevel="0" collapsed="false">
      <c r="A8" s="13" t="s">
        <v>125</v>
      </c>
      <c r="B8" s="11" t="n">
        <v>25</v>
      </c>
      <c r="C8" s="20" t="n">
        <f aca="false">IF($A8="","",SUMIFS('Fichas técnicas'!$E$5:$E$104,'Fichas técnicas'!$A$5:$A$104,$A8,'Fichas técnicas'!$F$5:$F$104,"Flores"))</f>
        <v>57.6127450980392</v>
      </c>
      <c r="D8" s="20" t="n">
        <f aca="false">IF($A8="","",SUMIFS('Fichas técnicas'!$E$5:$E$104,'Fichas técnicas'!$A$5:$A$104,$A8,'Fichas técnicas'!$F$5:$F$104,"Embalagem"))</f>
        <v>11</v>
      </c>
      <c r="E8" s="14" t="n">
        <f aca="false">IF($A8="","",C8+D8)</f>
        <v>68.6127450980392</v>
      </c>
      <c r="F8" s="20" t="n">
        <f aca="false">IF($A8="","",B8/60*Despesas!$B$10)</f>
        <v>13.1818181818182</v>
      </c>
      <c r="G8" s="20" t="n">
        <f aca="false">IF($A8="","",E8*Despesas!$B$30)</f>
        <v>38.3815295533099</v>
      </c>
      <c r="H8" s="22" t="n">
        <f aca="false">IF($A8="","",E8+F8+G8)</f>
        <v>120.176092833167</v>
      </c>
      <c r="I8" s="20" t="n">
        <f aca="false">IF($A8="","",H8/(1-Parâmetros!$B$10-Parâmetros!$B$8))</f>
        <v>171.68013261881</v>
      </c>
      <c r="J8" s="18" t="n">
        <f aca="false">IF($A8="","",ROUNDUP(I8/Parâmetros!$B$9,0)*Parâmetros!$B$9)</f>
        <v>175</v>
      </c>
      <c r="K8" s="20" t="n">
        <f aca="false">IF($A8="","",J8*Parâmetros!$B$10)</f>
        <v>17.5</v>
      </c>
      <c r="L8" s="14" t="n">
        <f aca="false">IF($A8="","",J8-H8-K8)</f>
        <v>37.3239071668327</v>
      </c>
      <c r="M8" s="12" t="n">
        <f aca="false">IF($A8="","",IFERROR(L8/J8,0))</f>
        <v>0.213279469524758</v>
      </c>
      <c r="N8" s="12" t="n">
        <f aca="false">IF($A8="","",IFERROR((J8-H8)/H8,0))</f>
        <v>0.456196452009313</v>
      </c>
      <c r="O8" s="14" t="n">
        <f aca="false">IF($A8="","",J8-E8-K8)</f>
        <v>88.8872549019608</v>
      </c>
    </row>
    <row r="9" customFormat="false" ht="15" hidden="false" customHeight="true" outlineLevel="0" collapsed="false">
      <c r="A9" s="13" t="s">
        <v>126</v>
      </c>
      <c r="B9" s="11" t="n">
        <v>2</v>
      </c>
      <c r="C9" s="20" t="n">
        <f aca="false">IF($A9="","",SUMIFS('Fichas técnicas'!$E$5:$E$104,'Fichas técnicas'!$A$5:$A$104,$A9,'Fichas técnicas'!$F$5:$F$104,"Flores"))</f>
        <v>4.41176470588235</v>
      </c>
      <c r="D9" s="20" t="n">
        <f aca="false">IF($A9="","",SUMIFS('Fichas técnicas'!$E$5:$E$104,'Fichas técnicas'!$A$5:$A$104,$A9,'Fichas técnicas'!$F$5:$F$104,"Embalagem"))</f>
        <v>0.8</v>
      </c>
      <c r="E9" s="14" t="n">
        <f aca="false">IF($A9="","",C9+D9)</f>
        <v>5.21176470588235</v>
      </c>
      <c r="F9" s="20" t="n">
        <f aca="false">IF($A9="","",B9/60*Despesas!$B$10)</f>
        <v>1.05454545454545</v>
      </c>
      <c r="G9" s="20" t="n">
        <f aca="false">IF($A9="","",E9*Despesas!$B$30)</f>
        <v>2.91542775030929</v>
      </c>
      <c r="H9" s="22" t="n">
        <f aca="false">IF($A9="","",E9+F9+G9)</f>
        <v>9.1817379107371</v>
      </c>
      <c r="I9" s="20" t="n">
        <f aca="false">IF($A9="","",H9/(1-Parâmetros!$B$10-Parâmetros!$B$8))</f>
        <v>13.1167684439101</v>
      </c>
      <c r="J9" s="18" t="n">
        <f aca="false">IF($A9="","",ROUNDUP(I9/Parâmetros!$B$9,0)*Parâmetros!$B$9)</f>
        <v>15</v>
      </c>
      <c r="K9" s="20" t="n">
        <f aca="false">IF($A9="","",J9*Parâmetros!$B$10)</f>
        <v>1.5</v>
      </c>
      <c r="L9" s="14" t="n">
        <f aca="false">IF($A9="","",J9-H9-K9)</f>
        <v>4.31826208926291</v>
      </c>
      <c r="M9" s="12" t="n">
        <f aca="false">IF($A9="","",IFERROR(L9/J9,0))</f>
        <v>0.287884139284194</v>
      </c>
      <c r="N9" s="12" t="n">
        <f aca="false">IF($A9="","",IFERROR((J9-H9)/H9,0))</f>
        <v>0.633677648591891</v>
      </c>
      <c r="O9" s="14" t="n">
        <f aca="false">IF($A9="","",J9-E9-K9)</f>
        <v>8.28823529411765</v>
      </c>
    </row>
    <row r="10" customFormat="false" ht="15" hidden="false" customHeight="true" outlineLevel="0" collapsed="false">
      <c r="A10" s="13"/>
      <c r="B10" s="11"/>
      <c r="C10" s="20" t="str">
        <f aca="false">IF($A10="","",SUMIFS('Fichas técnicas'!$E$5:$E$104,'Fichas técnicas'!$A$5:$A$104,$A10,'Fichas técnicas'!$F$5:$F$104,"Flores"))</f>
        <v/>
      </c>
      <c r="D10" s="20" t="str">
        <f aca="false">IF($A10="","",SUMIFS('Fichas técnicas'!$E$5:$E$104,'Fichas técnicas'!$A$5:$A$104,$A10,'Fichas técnicas'!$F$5:$F$104,"Embalagem"))</f>
        <v/>
      </c>
      <c r="E10" s="14" t="str">
        <f aca="false">IF($A10="","",C10+D10)</f>
        <v/>
      </c>
      <c r="F10" s="20" t="str">
        <f aca="false">IF($A10="","",B10/60*Despesas!$B$10)</f>
        <v/>
      </c>
      <c r="G10" s="20" t="str">
        <f aca="false">IF($A10="","",E10*Despesas!$B$30)</f>
        <v/>
      </c>
      <c r="H10" s="22" t="str">
        <f aca="false">IF($A10="","",E10+F10+G10)</f>
        <v/>
      </c>
      <c r="I10" s="20" t="str">
        <f aca="false">IF($A10="","",H10/(1-Parâmetros!$B$10-Parâmetros!$B$8))</f>
        <v/>
      </c>
      <c r="J10" s="18" t="str">
        <f aca="false">IF($A10="","",ROUNDUP(I10/Parâmetros!$B$9,0)*Parâmetros!$B$9)</f>
        <v/>
      </c>
      <c r="K10" s="20" t="str">
        <f aca="false">IF($A10="","",J10*Parâmetros!$B$10)</f>
        <v/>
      </c>
      <c r="L10" s="14" t="str">
        <f aca="false">IF($A10="","",J10-H10-K10)</f>
        <v/>
      </c>
      <c r="M10" s="12" t="str">
        <f aca="false">IF($A10="","",IFERROR(L10/J10,0))</f>
        <v/>
      </c>
      <c r="N10" s="12" t="str">
        <f aca="false">IF($A10="","",IFERROR((J10-H10)/H10,0))</f>
        <v/>
      </c>
      <c r="O10" s="14" t="str">
        <f aca="false">IF($A10="","",J10-E10-K10)</f>
        <v/>
      </c>
    </row>
    <row r="11" customFormat="false" ht="15" hidden="false" customHeight="true" outlineLevel="0" collapsed="false">
      <c r="A11" s="13"/>
      <c r="B11" s="11"/>
      <c r="C11" s="20" t="str">
        <f aca="false">IF($A11="","",SUMIFS('Fichas técnicas'!$E$5:$E$104,'Fichas técnicas'!$A$5:$A$104,$A11,'Fichas técnicas'!$F$5:$F$104,"Flores"))</f>
        <v/>
      </c>
      <c r="D11" s="20" t="str">
        <f aca="false">IF($A11="","",SUMIFS('Fichas técnicas'!$E$5:$E$104,'Fichas técnicas'!$A$5:$A$104,$A11,'Fichas técnicas'!$F$5:$F$104,"Embalagem"))</f>
        <v/>
      </c>
      <c r="E11" s="14" t="str">
        <f aca="false">IF($A11="","",C11+D11)</f>
        <v/>
      </c>
      <c r="F11" s="20" t="str">
        <f aca="false">IF($A11="","",B11/60*Despesas!$B$10)</f>
        <v/>
      </c>
      <c r="G11" s="20" t="str">
        <f aca="false">IF($A11="","",E11*Despesas!$B$30)</f>
        <v/>
      </c>
      <c r="H11" s="22" t="str">
        <f aca="false">IF($A11="","",E11+F11+G11)</f>
        <v/>
      </c>
      <c r="I11" s="20" t="str">
        <f aca="false">IF($A11="","",H11/(1-Parâmetros!$B$10-Parâmetros!$B$8))</f>
        <v/>
      </c>
      <c r="J11" s="18" t="str">
        <f aca="false">IF($A11="","",ROUNDUP(I11/Parâmetros!$B$9,0)*Parâmetros!$B$9)</f>
        <v/>
      </c>
      <c r="K11" s="20" t="str">
        <f aca="false">IF($A11="","",J11*Parâmetros!$B$10)</f>
        <v/>
      </c>
      <c r="L11" s="14" t="str">
        <f aca="false">IF($A11="","",J11-H11-K11)</f>
        <v/>
      </c>
      <c r="M11" s="12" t="str">
        <f aca="false">IF($A11="","",IFERROR(L11/J11,0))</f>
        <v/>
      </c>
      <c r="N11" s="12" t="str">
        <f aca="false">IF($A11="","",IFERROR((J11-H11)/H11,0))</f>
        <v/>
      </c>
      <c r="O11" s="14" t="str">
        <f aca="false">IF($A11="","",J11-E11-K11)</f>
        <v/>
      </c>
    </row>
    <row r="12" customFormat="false" ht="15" hidden="false" customHeight="true" outlineLevel="0" collapsed="false">
      <c r="A12" s="13"/>
      <c r="B12" s="11"/>
      <c r="C12" s="20" t="str">
        <f aca="false">IF($A12="","",SUMIFS('Fichas técnicas'!$E$5:$E$104,'Fichas técnicas'!$A$5:$A$104,$A12,'Fichas técnicas'!$F$5:$F$104,"Flores"))</f>
        <v/>
      </c>
      <c r="D12" s="20" t="str">
        <f aca="false">IF($A12="","",SUMIFS('Fichas técnicas'!$E$5:$E$104,'Fichas técnicas'!$A$5:$A$104,$A12,'Fichas técnicas'!$F$5:$F$104,"Embalagem"))</f>
        <v/>
      </c>
      <c r="E12" s="14" t="str">
        <f aca="false">IF($A12="","",C12+D12)</f>
        <v/>
      </c>
      <c r="F12" s="20" t="str">
        <f aca="false">IF($A12="","",B12/60*Despesas!$B$10)</f>
        <v/>
      </c>
      <c r="G12" s="20" t="str">
        <f aca="false">IF($A12="","",E12*Despesas!$B$30)</f>
        <v/>
      </c>
      <c r="H12" s="22" t="str">
        <f aca="false">IF($A12="","",E12+F12+G12)</f>
        <v/>
      </c>
      <c r="I12" s="20" t="str">
        <f aca="false">IF($A12="","",H12/(1-Parâmetros!$B$10-Parâmetros!$B$8))</f>
        <v/>
      </c>
      <c r="J12" s="18" t="str">
        <f aca="false">IF($A12="","",ROUNDUP(I12/Parâmetros!$B$9,0)*Parâmetros!$B$9)</f>
        <v/>
      </c>
      <c r="K12" s="20" t="str">
        <f aca="false">IF($A12="","",J12*Parâmetros!$B$10)</f>
        <v/>
      </c>
      <c r="L12" s="14" t="str">
        <f aca="false">IF($A12="","",J12-H12-K12)</f>
        <v/>
      </c>
      <c r="M12" s="12" t="str">
        <f aca="false">IF($A12="","",IFERROR(L12/J12,0))</f>
        <v/>
      </c>
      <c r="N12" s="12" t="str">
        <f aca="false">IF($A12="","",IFERROR((J12-H12)/H12,0))</f>
        <v/>
      </c>
      <c r="O12" s="14" t="str">
        <f aca="false">IF($A12="","",J12-E12-K12)</f>
        <v/>
      </c>
    </row>
    <row r="13" customFormat="false" ht="15" hidden="false" customHeight="true" outlineLevel="0" collapsed="false">
      <c r="A13" s="13"/>
      <c r="B13" s="11"/>
      <c r="C13" s="20" t="str">
        <f aca="false">IF($A13="","",SUMIFS('Fichas técnicas'!$E$5:$E$104,'Fichas técnicas'!$A$5:$A$104,$A13,'Fichas técnicas'!$F$5:$F$104,"Flores"))</f>
        <v/>
      </c>
      <c r="D13" s="20" t="str">
        <f aca="false">IF($A13="","",SUMIFS('Fichas técnicas'!$E$5:$E$104,'Fichas técnicas'!$A$5:$A$104,$A13,'Fichas técnicas'!$F$5:$F$104,"Embalagem"))</f>
        <v/>
      </c>
      <c r="E13" s="14" t="str">
        <f aca="false">IF($A13="","",C13+D13)</f>
        <v/>
      </c>
      <c r="F13" s="20" t="str">
        <f aca="false">IF($A13="","",B13/60*Despesas!$B$10)</f>
        <v/>
      </c>
      <c r="G13" s="20" t="str">
        <f aca="false">IF($A13="","",E13*Despesas!$B$30)</f>
        <v/>
      </c>
      <c r="H13" s="22" t="str">
        <f aca="false">IF($A13="","",E13+F13+G13)</f>
        <v/>
      </c>
      <c r="I13" s="20" t="str">
        <f aca="false">IF($A13="","",H13/(1-Parâmetros!$B$10-Parâmetros!$B$8))</f>
        <v/>
      </c>
      <c r="J13" s="18" t="str">
        <f aca="false">IF($A13="","",ROUNDUP(I13/Parâmetros!$B$9,0)*Parâmetros!$B$9)</f>
        <v/>
      </c>
      <c r="K13" s="20" t="str">
        <f aca="false">IF($A13="","",J13*Parâmetros!$B$10)</f>
        <v/>
      </c>
      <c r="L13" s="14" t="str">
        <f aca="false">IF($A13="","",J13-H13-K13)</f>
        <v/>
      </c>
      <c r="M13" s="12" t="str">
        <f aca="false">IF($A13="","",IFERROR(L13/J13,0))</f>
        <v/>
      </c>
      <c r="N13" s="12" t="str">
        <f aca="false">IF($A13="","",IFERROR((J13-H13)/H13,0))</f>
        <v/>
      </c>
      <c r="O13" s="14" t="str">
        <f aca="false">IF($A13="","",J13-E13-K13)</f>
        <v/>
      </c>
    </row>
    <row r="14" customFormat="false" ht="15" hidden="false" customHeight="true" outlineLevel="0" collapsed="false">
      <c r="A14" s="13"/>
      <c r="B14" s="11"/>
      <c r="C14" s="20" t="str">
        <f aca="false">IF($A14="","",SUMIFS('Fichas técnicas'!$E$5:$E$104,'Fichas técnicas'!$A$5:$A$104,$A14,'Fichas técnicas'!$F$5:$F$104,"Flores"))</f>
        <v/>
      </c>
      <c r="D14" s="20" t="str">
        <f aca="false">IF($A14="","",SUMIFS('Fichas técnicas'!$E$5:$E$104,'Fichas técnicas'!$A$5:$A$104,$A14,'Fichas técnicas'!$F$5:$F$104,"Embalagem"))</f>
        <v/>
      </c>
      <c r="E14" s="14" t="str">
        <f aca="false">IF($A14="","",C14+D14)</f>
        <v/>
      </c>
      <c r="F14" s="20" t="str">
        <f aca="false">IF($A14="","",B14/60*Despesas!$B$10)</f>
        <v/>
      </c>
      <c r="G14" s="20" t="str">
        <f aca="false">IF($A14="","",E14*Despesas!$B$30)</f>
        <v/>
      </c>
      <c r="H14" s="22" t="str">
        <f aca="false">IF($A14="","",E14+F14+G14)</f>
        <v/>
      </c>
      <c r="I14" s="20" t="str">
        <f aca="false">IF($A14="","",H14/(1-Parâmetros!$B$10-Parâmetros!$B$8))</f>
        <v/>
      </c>
      <c r="J14" s="18" t="str">
        <f aca="false">IF($A14="","",ROUNDUP(I14/Parâmetros!$B$9,0)*Parâmetros!$B$9)</f>
        <v/>
      </c>
      <c r="K14" s="20" t="str">
        <f aca="false">IF($A14="","",J14*Parâmetros!$B$10)</f>
        <v/>
      </c>
      <c r="L14" s="14" t="str">
        <f aca="false">IF($A14="","",J14-H14-K14)</f>
        <v/>
      </c>
      <c r="M14" s="12" t="str">
        <f aca="false">IF($A14="","",IFERROR(L14/J14,0))</f>
        <v/>
      </c>
      <c r="N14" s="12" t="str">
        <f aca="false">IF($A14="","",IFERROR((J14-H14)/H14,0))</f>
        <v/>
      </c>
      <c r="O14" s="14" t="str">
        <f aca="false">IF($A14="","",J14-E14-K14)</f>
        <v/>
      </c>
    </row>
    <row r="15" customFormat="false" ht="15" hidden="false" customHeight="true" outlineLevel="0" collapsed="false">
      <c r="A15" s="13"/>
      <c r="B15" s="11"/>
      <c r="C15" s="20" t="str">
        <f aca="false">IF($A15="","",SUMIFS('Fichas técnicas'!$E$5:$E$104,'Fichas técnicas'!$A$5:$A$104,$A15,'Fichas técnicas'!$F$5:$F$104,"Flores"))</f>
        <v/>
      </c>
      <c r="D15" s="20" t="str">
        <f aca="false">IF($A15="","",SUMIFS('Fichas técnicas'!$E$5:$E$104,'Fichas técnicas'!$A$5:$A$104,$A15,'Fichas técnicas'!$F$5:$F$104,"Embalagem"))</f>
        <v/>
      </c>
      <c r="E15" s="14" t="str">
        <f aca="false">IF($A15="","",C15+D15)</f>
        <v/>
      </c>
      <c r="F15" s="20" t="str">
        <f aca="false">IF($A15="","",B15/60*Despesas!$B$10)</f>
        <v/>
      </c>
      <c r="G15" s="20" t="str">
        <f aca="false">IF($A15="","",E15*Despesas!$B$30)</f>
        <v/>
      </c>
      <c r="H15" s="22" t="str">
        <f aca="false">IF($A15="","",E15+F15+G15)</f>
        <v/>
      </c>
      <c r="I15" s="20" t="str">
        <f aca="false">IF($A15="","",H15/(1-Parâmetros!$B$10-Parâmetros!$B$8))</f>
        <v/>
      </c>
      <c r="J15" s="18" t="str">
        <f aca="false">IF($A15="","",ROUNDUP(I15/Parâmetros!$B$9,0)*Parâmetros!$B$9)</f>
        <v/>
      </c>
      <c r="K15" s="20" t="str">
        <f aca="false">IF($A15="","",J15*Parâmetros!$B$10)</f>
        <v/>
      </c>
      <c r="L15" s="14" t="str">
        <f aca="false">IF($A15="","",J15-H15-K15)</f>
        <v/>
      </c>
      <c r="M15" s="12" t="str">
        <f aca="false">IF($A15="","",IFERROR(L15/J15,0))</f>
        <v/>
      </c>
      <c r="N15" s="12" t="str">
        <f aca="false">IF($A15="","",IFERROR((J15-H15)/H15,0))</f>
        <v/>
      </c>
      <c r="O15" s="14" t="str">
        <f aca="false">IF($A15="","",J15-E15-K15)</f>
        <v/>
      </c>
    </row>
    <row r="16" customFormat="false" ht="15" hidden="false" customHeight="true" outlineLevel="0" collapsed="false">
      <c r="A16" s="13"/>
      <c r="B16" s="11"/>
      <c r="C16" s="20" t="str">
        <f aca="false">IF($A16="","",SUMIFS('Fichas técnicas'!$E$5:$E$104,'Fichas técnicas'!$A$5:$A$104,$A16,'Fichas técnicas'!$F$5:$F$104,"Flores"))</f>
        <v/>
      </c>
      <c r="D16" s="20" t="str">
        <f aca="false">IF($A16="","",SUMIFS('Fichas técnicas'!$E$5:$E$104,'Fichas técnicas'!$A$5:$A$104,$A16,'Fichas técnicas'!$F$5:$F$104,"Embalagem"))</f>
        <v/>
      </c>
      <c r="E16" s="14" t="str">
        <f aca="false">IF($A16="","",C16+D16)</f>
        <v/>
      </c>
      <c r="F16" s="20" t="str">
        <f aca="false">IF($A16="","",B16/60*Despesas!$B$10)</f>
        <v/>
      </c>
      <c r="G16" s="20" t="str">
        <f aca="false">IF($A16="","",E16*Despesas!$B$30)</f>
        <v/>
      </c>
      <c r="H16" s="22" t="str">
        <f aca="false">IF($A16="","",E16+F16+G16)</f>
        <v/>
      </c>
      <c r="I16" s="20" t="str">
        <f aca="false">IF($A16="","",H16/(1-Parâmetros!$B$10-Parâmetros!$B$8))</f>
        <v/>
      </c>
      <c r="J16" s="18" t="str">
        <f aca="false">IF($A16="","",ROUNDUP(I16/Parâmetros!$B$9,0)*Parâmetros!$B$9)</f>
        <v/>
      </c>
      <c r="K16" s="20" t="str">
        <f aca="false">IF($A16="","",J16*Parâmetros!$B$10)</f>
        <v/>
      </c>
      <c r="L16" s="14" t="str">
        <f aca="false">IF($A16="","",J16-H16-K16)</f>
        <v/>
      </c>
      <c r="M16" s="12" t="str">
        <f aca="false">IF($A16="","",IFERROR(L16/J16,0))</f>
        <v/>
      </c>
      <c r="N16" s="12" t="str">
        <f aca="false">IF($A16="","",IFERROR((J16-H16)/H16,0))</f>
        <v/>
      </c>
      <c r="O16" s="14" t="str">
        <f aca="false">IF($A16="","",J16-E16-K16)</f>
        <v/>
      </c>
    </row>
    <row r="17" customFormat="false" ht="15" hidden="false" customHeight="true" outlineLevel="0" collapsed="false">
      <c r="A17" s="13"/>
      <c r="B17" s="11"/>
      <c r="C17" s="20" t="str">
        <f aca="false">IF($A17="","",SUMIFS('Fichas técnicas'!$E$5:$E$104,'Fichas técnicas'!$A$5:$A$104,$A17,'Fichas técnicas'!$F$5:$F$104,"Flores"))</f>
        <v/>
      </c>
      <c r="D17" s="20" t="str">
        <f aca="false">IF($A17="","",SUMIFS('Fichas técnicas'!$E$5:$E$104,'Fichas técnicas'!$A$5:$A$104,$A17,'Fichas técnicas'!$F$5:$F$104,"Embalagem"))</f>
        <v/>
      </c>
      <c r="E17" s="14" t="str">
        <f aca="false">IF($A17="","",C17+D17)</f>
        <v/>
      </c>
      <c r="F17" s="20" t="str">
        <f aca="false">IF($A17="","",B17/60*Despesas!$B$10)</f>
        <v/>
      </c>
      <c r="G17" s="20" t="str">
        <f aca="false">IF($A17="","",E17*Despesas!$B$30)</f>
        <v/>
      </c>
      <c r="H17" s="22" t="str">
        <f aca="false">IF($A17="","",E17+F17+G17)</f>
        <v/>
      </c>
      <c r="I17" s="20" t="str">
        <f aca="false">IF($A17="","",H17/(1-Parâmetros!$B$10-Parâmetros!$B$8))</f>
        <v/>
      </c>
      <c r="J17" s="18" t="str">
        <f aca="false">IF($A17="","",ROUNDUP(I17/Parâmetros!$B$9,0)*Parâmetros!$B$9)</f>
        <v/>
      </c>
      <c r="K17" s="20" t="str">
        <f aca="false">IF($A17="","",J17*Parâmetros!$B$10)</f>
        <v/>
      </c>
      <c r="L17" s="14" t="str">
        <f aca="false">IF($A17="","",J17-H17-K17)</f>
        <v/>
      </c>
      <c r="M17" s="12" t="str">
        <f aca="false">IF($A17="","",IFERROR(L17/J17,0))</f>
        <v/>
      </c>
      <c r="N17" s="12" t="str">
        <f aca="false">IF($A17="","",IFERROR((J17-H17)/H17,0))</f>
        <v/>
      </c>
      <c r="O17" s="14" t="str">
        <f aca="false">IF($A17="","",J17-E17-K17)</f>
        <v/>
      </c>
    </row>
    <row r="18" customFormat="false" ht="15" hidden="false" customHeight="true" outlineLevel="0" collapsed="false">
      <c r="A18" s="13"/>
      <c r="B18" s="11"/>
      <c r="C18" s="20" t="str">
        <f aca="false">IF($A18="","",SUMIFS('Fichas técnicas'!$E$5:$E$104,'Fichas técnicas'!$A$5:$A$104,$A18,'Fichas técnicas'!$F$5:$F$104,"Flores"))</f>
        <v/>
      </c>
      <c r="D18" s="20" t="str">
        <f aca="false">IF($A18="","",SUMIFS('Fichas técnicas'!$E$5:$E$104,'Fichas técnicas'!$A$5:$A$104,$A18,'Fichas técnicas'!$F$5:$F$104,"Embalagem"))</f>
        <v/>
      </c>
      <c r="E18" s="14" t="str">
        <f aca="false">IF($A18="","",C18+D18)</f>
        <v/>
      </c>
      <c r="F18" s="20" t="str">
        <f aca="false">IF($A18="","",B18/60*Despesas!$B$10)</f>
        <v/>
      </c>
      <c r="G18" s="20" t="str">
        <f aca="false">IF($A18="","",E18*Despesas!$B$30)</f>
        <v/>
      </c>
      <c r="H18" s="22" t="str">
        <f aca="false">IF($A18="","",E18+F18+G18)</f>
        <v/>
      </c>
      <c r="I18" s="20" t="str">
        <f aca="false">IF($A18="","",H18/(1-Parâmetros!$B$10-Parâmetros!$B$8))</f>
        <v/>
      </c>
      <c r="J18" s="18" t="str">
        <f aca="false">IF($A18="","",ROUNDUP(I18/Parâmetros!$B$9,0)*Parâmetros!$B$9)</f>
        <v/>
      </c>
      <c r="K18" s="20" t="str">
        <f aca="false">IF($A18="","",J18*Parâmetros!$B$10)</f>
        <v/>
      </c>
      <c r="L18" s="14" t="str">
        <f aca="false">IF($A18="","",J18-H18-K18)</f>
        <v/>
      </c>
      <c r="M18" s="12" t="str">
        <f aca="false">IF($A18="","",IFERROR(L18/J18,0))</f>
        <v/>
      </c>
      <c r="N18" s="12" t="str">
        <f aca="false">IF($A18="","",IFERROR((J18-H18)/H18,0))</f>
        <v/>
      </c>
      <c r="O18" s="14" t="str">
        <f aca="false">IF($A18="","",J18-E18-K18)</f>
        <v/>
      </c>
    </row>
    <row r="19" customFormat="false" ht="15" hidden="false" customHeight="true" outlineLevel="0" collapsed="false">
      <c r="A19" s="13"/>
      <c r="B19" s="11"/>
      <c r="C19" s="20" t="str">
        <f aca="false">IF($A19="","",SUMIFS('Fichas técnicas'!$E$5:$E$104,'Fichas técnicas'!$A$5:$A$104,$A19,'Fichas técnicas'!$F$5:$F$104,"Flores"))</f>
        <v/>
      </c>
      <c r="D19" s="20" t="str">
        <f aca="false">IF($A19="","",SUMIFS('Fichas técnicas'!$E$5:$E$104,'Fichas técnicas'!$A$5:$A$104,$A19,'Fichas técnicas'!$F$5:$F$104,"Embalagem"))</f>
        <v/>
      </c>
      <c r="E19" s="14" t="str">
        <f aca="false">IF($A19="","",C19+D19)</f>
        <v/>
      </c>
      <c r="F19" s="20" t="str">
        <f aca="false">IF($A19="","",B19/60*Despesas!$B$10)</f>
        <v/>
      </c>
      <c r="G19" s="20" t="str">
        <f aca="false">IF($A19="","",E19*Despesas!$B$30)</f>
        <v/>
      </c>
      <c r="H19" s="22" t="str">
        <f aca="false">IF($A19="","",E19+F19+G19)</f>
        <v/>
      </c>
      <c r="I19" s="20" t="str">
        <f aca="false">IF($A19="","",H19/(1-Parâmetros!$B$10-Parâmetros!$B$8))</f>
        <v/>
      </c>
      <c r="J19" s="18" t="str">
        <f aca="false">IF($A19="","",ROUNDUP(I19/Parâmetros!$B$9,0)*Parâmetros!$B$9)</f>
        <v/>
      </c>
      <c r="K19" s="20" t="str">
        <f aca="false">IF($A19="","",J19*Parâmetros!$B$10)</f>
        <v/>
      </c>
      <c r="L19" s="14" t="str">
        <f aca="false">IF($A19="","",J19-H19-K19)</f>
        <v/>
      </c>
      <c r="M19" s="12" t="str">
        <f aca="false">IF($A19="","",IFERROR(L19/J19,0))</f>
        <v/>
      </c>
      <c r="N19" s="12" t="str">
        <f aca="false">IF($A19="","",IFERROR((J19-H19)/H19,0))</f>
        <v/>
      </c>
      <c r="O19" s="14" t="str">
        <f aca="false">IF($A19="","",J19-E19-K19)</f>
        <v/>
      </c>
    </row>
    <row r="20" customFormat="false" ht="15" hidden="false" customHeight="true" outlineLevel="0" collapsed="false">
      <c r="A20" s="13"/>
      <c r="B20" s="11"/>
      <c r="C20" s="20" t="str">
        <f aca="false">IF($A20="","",SUMIFS('Fichas técnicas'!$E$5:$E$104,'Fichas técnicas'!$A$5:$A$104,$A20,'Fichas técnicas'!$F$5:$F$104,"Flores"))</f>
        <v/>
      </c>
      <c r="D20" s="20" t="str">
        <f aca="false">IF($A20="","",SUMIFS('Fichas técnicas'!$E$5:$E$104,'Fichas técnicas'!$A$5:$A$104,$A20,'Fichas técnicas'!$F$5:$F$104,"Embalagem"))</f>
        <v/>
      </c>
      <c r="E20" s="14" t="str">
        <f aca="false">IF($A20="","",C20+D20)</f>
        <v/>
      </c>
      <c r="F20" s="20" t="str">
        <f aca="false">IF($A20="","",B20/60*Despesas!$B$10)</f>
        <v/>
      </c>
      <c r="G20" s="20" t="str">
        <f aca="false">IF($A20="","",E20*Despesas!$B$30)</f>
        <v/>
      </c>
      <c r="H20" s="22" t="str">
        <f aca="false">IF($A20="","",E20+F20+G20)</f>
        <v/>
      </c>
      <c r="I20" s="20" t="str">
        <f aca="false">IF($A20="","",H20/(1-Parâmetros!$B$10-Parâmetros!$B$8))</f>
        <v/>
      </c>
      <c r="J20" s="18" t="str">
        <f aca="false">IF($A20="","",ROUNDUP(I20/Parâmetros!$B$9,0)*Parâmetros!$B$9)</f>
        <v/>
      </c>
      <c r="K20" s="20" t="str">
        <f aca="false">IF($A20="","",J20*Parâmetros!$B$10)</f>
        <v/>
      </c>
      <c r="L20" s="14" t="str">
        <f aca="false">IF($A20="","",J20-H20-K20)</f>
        <v/>
      </c>
      <c r="M20" s="12" t="str">
        <f aca="false">IF($A20="","",IFERROR(L20/J20,0))</f>
        <v/>
      </c>
      <c r="N20" s="12" t="str">
        <f aca="false">IF($A20="","",IFERROR((J20-H20)/H20,0))</f>
        <v/>
      </c>
      <c r="O20" s="14" t="str">
        <f aca="false">IF($A20="","",J20-E20-K20)</f>
        <v/>
      </c>
    </row>
    <row r="22" customFormat="false" ht="15" hidden="false" customHeight="true" outlineLevel="0" collapsed="false">
      <c r="A22" s="8" t="s">
        <v>143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8"/>
    <col collapsed="false" customWidth="true" hidden="false" outlineLevel="0" max="7" min="2" style="1" width="14"/>
    <col collapsed="false" customWidth="true" hidden="false" outlineLevel="0" max="8" min="8" style="1" width="12"/>
  </cols>
  <sheetData>
    <row r="1" customFormat="false" ht="17.25" hidden="false" customHeight="true" outlineLevel="0" collapsed="false">
      <c r="A1" s="2" t="s">
        <v>144</v>
      </c>
    </row>
    <row r="2" customFormat="false" ht="15" hidden="false" customHeight="true" outlineLevel="0" collapsed="false">
      <c r="A2" s="8" t="s">
        <v>145</v>
      </c>
    </row>
    <row r="4" customFormat="false" ht="31.5" hidden="false" customHeight="true" outlineLevel="0" collapsed="false">
      <c r="A4" s="9" t="s">
        <v>146</v>
      </c>
      <c r="B4" s="9" t="s">
        <v>147</v>
      </c>
      <c r="C4" s="9" t="s">
        <v>148</v>
      </c>
      <c r="D4" s="9" t="s">
        <v>121</v>
      </c>
      <c r="E4" s="9" t="s">
        <v>149</v>
      </c>
      <c r="F4" s="9" t="s">
        <v>138</v>
      </c>
      <c r="G4" s="9" t="s">
        <v>150</v>
      </c>
      <c r="H4" s="9" t="s">
        <v>151</v>
      </c>
    </row>
    <row r="5" customFormat="false" ht="15" hidden="false" customHeight="true" outlineLevel="0" collapsed="false">
      <c r="A5" s="13" t="s">
        <v>152</v>
      </c>
      <c r="B5" s="11" t="n">
        <v>12</v>
      </c>
      <c r="C5" s="11" t="n">
        <v>4</v>
      </c>
      <c r="D5" s="16" t="n">
        <f aca="false">IF(A5="","",B5+C5)</f>
        <v>16</v>
      </c>
      <c r="E5" s="11" t="n">
        <v>20</v>
      </c>
      <c r="F5" s="20" t="n">
        <f aca="false">IF(A5="","",E5*Parâmetros!$B$10)</f>
        <v>2</v>
      </c>
      <c r="G5" s="14" t="n">
        <f aca="false">IF(A5="","",E5-D5-F5)</f>
        <v>2</v>
      </c>
      <c r="H5" s="10" t="n">
        <v>0.5</v>
      </c>
    </row>
    <row r="6" customFormat="false" ht="15" hidden="false" customHeight="true" outlineLevel="0" collapsed="false">
      <c r="A6" s="13" t="s">
        <v>153</v>
      </c>
      <c r="B6" s="11" t="n">
        <v>18</v>
      </c>
      <c r="C6" s="11" t="n">
        <v>4</v>
      </c>
      <c r="D6" s="16" t="n">
        <f aca="false">IF(A6="","",B6+C6)</f>
        <v>22</v>
      </c>
      <c r="E6" s="11" t="n">
        <v>28</v>
      </c>
      <c r="F6" s="20" t="n">
        <f aca="false">IF(A6="","",E6*Parâmetros!$B$10)</f>
        <v>2.8</v>
      </c>
      <c r="G6" s="14" t="n">
        <f aca="false">IF(A6="","",E6-D6-F6)</f>
        <v>3.2</v>
      </c>
      <c r="H6" s="10" t="n">
        <v>0.35</v>
      </c>
    </row>
    <row r="7" customFormat="false" ht="15" hidden="false" customHeight="true" outlineLevel="0" collapsed="false">
      <c r="A7" s="13" t="s">
        <v>154</v>
      </c>
      <c r="B7" s="11" t="n">
        <v>28</v>
      </c>
      <c r="C7" s="11" t="n">
        <v>4</v>
      </c>
      <c r="D7" s="16" t="n">
        <f aca="false">IF(A7="","",B7+C7)</f>
        <v>32</v>
      </c>
      <c r="E7" s="11" t="n">
        <v>40</v>
      </c>
      <c r="F7" s="20" t="n">
        <f aca="false">IF(A7="","",E7*Parâmetros!$B$10)</f>
        <v>4</v>
      </c>
      <c r="G7" s="14" t="n">
        <f aca="false">IF(A7="","",E7-D7-F7)</f>
        <v>4</v>
      </c>
      <c r="H7" s="10" t="n">
        <v>0.15</v>
      </c>
    </row>
    <row r="8" customFormat="false" ht="15" hidden="false" customHeight="true" outlineLevel="0" collapsed="false">
      <c r="A8" s="13"/>
      <c r="B8" s="11"/>
      <c r="C8" s="11"/>
      <c r="D8" s="16" t="str">
        <f aca="false">IF(A8="","",B8+C8)</f>
        <v/>
      </c>
      <c r="E8" s="11"/>
      <c r="F8" s="20" t="str">
        <f aca="false">IF(A8="","",E8*Parâmetros!$B$10)</f>
        <v/>
      </c>
      <c r="G8" s="14" t="str">
        <f aca="false">IF(A8="","",E8-D8-F8)</f>
        <v/>
      </c>
      <c r="H8" s="10"/>
    </row>
    <row r="9" customFormat="false" ht="15" hidden="false" customHeight="true" outlineLevel="0" collapsed="false">
      <c r="A9" s="13"/>
      <c r="B9" s="11"/>
      <c r="C9" s="11"/>
      <c r="D9" s="16" t="str">
        <f aca="false">IF(A9="","",B9+C9)</f>
        <v/>
      </c>
      <c r="E9" s="11"/>
      <c r="F9" s="20" t="str">
        <f aca="false">IF(A9="","",E9*Parâmetros!$B$10)</f>
        <v/>
      </c>
      <c r="G9" s="14" t="str">
        <f aca="false">IF(A9="","",E9-D9-F9)</f>
        <v/>
      </c>
      <c r="H9" s="10"/>
    </row>
    <row r="10" customFormat="false" ht="15" hidden="false" customHeight="true" outlineLevel="0" collapsed="false">
      <c r="A10" s="3" t="s">
        <v>155</v>
      </c>
      <c r="D10" s="14" t="n">
        <f aca="false">SUMPRODUCT(D5:D9,H5:H9)</f>
        <v>20.5</v>
      </c>
      <c r="E10" s="14" t="n">
        <f aca="false">SUMPRODUCT(E5:E9,H5:H9)</f>
        <v>25.8</v>
      </c>
      <c r="F10" s="14" t="n">
        <f aca="false">SUMPRODUCT(F5:F9,H5:H9)</f>
        <v>2.58</v>
      </c>
      <c r="G10" s="14" t="n">
        <f aca="false">SUMPRODUCT(G5:G9,H5:H9)</f>
        <v>2.72</v>
      </c>
      <c r="H10" s="12" t="n">
        <f aca="false">SUM(H5:H9)</f>
        <v>1</v>
      </c>
    </row>
    <row r="12" customFormat="false" ht="15" hidden="false" customHeight="true" outlineLevel="0" collapsed="false">
      <c r="A12" s="8" t="s">
        <v>156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0"/>
    <col collapsed="false" customWidth="true" hidden="false" outlineLevel="0" max="2" min="2" style="1" width="14"/>
    <col collapsed="false" customWidth="true" hidden="false" outlineLevel="0" max="14" min="3" style="1" width="11"/>
    <col collapsed="false" customWidth="true" hidden="false" outlineLevel="0" max="15" min="15" style="1" width="13"/>
  </cols>
  <sheetData>
    <row r="1" customFormat="false" ht="17.25" hidden="false" customHeight="true" outlineLevel="0" collapsed="false">
      <c r="A1" s="2" t="s">
        <v>157</v>
      </c>
    </row>
    <row r="2" customFormat="false" ht="15" hidden="false" customHeight="true" outlineLevel="0" collapsed="false">
      <c r="A2" s="8" t="s">
        <v>158</v>
      </c>
    </row>
    <row r="4" customFormat="false" ht="31.5" hidden="false" customHeight="true" outlineLevel="0" collapsed="false">
      <c r="A4" s="9" t="s">
        <v>159</v>
      </c>
      <c r="B4" s="9" t="s">
        <v>160</v>
      </c>
      <c r="C4" s="9" t="s">
        <v>161</v>
      </c>
      <c r="D4" s="9" t="s">
        <v>162</v>
      </c>
      <c r="E4" s="9" t="s">
        <v>163</v>
      </c>
      <c r="F4" s="9" t="s">
        <v>164</v>
      </c>
      <c r="G4" s="9" t="s">
        <v>165</v>
      </c>
      <c r="H4" s="9" t="s">
        <v>166</v>
      </c>
      <c r="I4" s="9" t="s">
        <v>167</v>
      </c>
      <c r="J4" s="9" t="s">
        <v>168</v>
      </c>
      <c r="K4" s="9" t="s">
        <v>169</v>
      </c>
      <c r="L4" s="9" t="s">
        <v>170</v>
      </c>
      <c r="M4" s="9" t="s">
        <v>171</v>
      </c>
      <c r="N4" s="9" t="s">
        <v>172</v>
      </c>
      <c r="O4" s="9" t="s">
        <v>173</v>
      </c>
    </row>
    <row r="5" customFormat="false" ht="15" hidden="false" customHeight="true" outlineLevel="0" collapsed="false">
      <c r="A5" s="1" t="s">
        <v>174</v>
      </c>
      <c r="C5" s="23" t="n">
        <v>0.8</v>
      </c>
      <c r="D5" s="23" t="n">
        <v>0.8</v>
      </c>
      <c r="E5" s="23" t="n">
        <v>1.1</v>
      </c>
      <c r="F5" s="23" t="n">
        <v>1</v>
      </c>
      <c r="G5" s="23" t="n">
        <v>1.8</v>
      </c>
      <c r="H5" s="23" t="n">
        <v>1.5</v>
      </c>
      <c r="I5" s="23" t="n">
        <v>0.8</v>
      </c>
      <c r="J5" s="23" t="n">
        <v>1</v>
      </c>
      <c r="K5" s="23" t="n">
        <v>1.1</v>
      </c>
      <c r="L5" s="23" t="n">
        <v>1</v>
      </c>
      <c r="M5" s="23" t="n">
        <v>1.2</v>
      </c>
      <c r="N5" s="23" t="n">
        <v>1.3</v>
      </c>
      <c r="O5" s="24" t="n">
        <f aca="false">AVERAGE(C5:N5)</f>
        <v>1.11666666666667</v>
      </c>
    </row>
    <row r="6" customFormat="false" ht="15" hidden="false" customHeight="true" outlineLevel="0" collapsed="false">
      <c r="A6" s="1" t="s">
        <v>175</v>
      </c>
      <c r="C6" s="23" t="n">
        <v>1</v>
      </c>
      <c r="D6" s="23" t="n">
        <v>1</v>
      </c>
      <c r="E6" s="23" t="n">
        <v>1.05</v>
      </c>
      <c r="F6" s="23" t="n">
        <v>1</v>
      </c>
      <c r="G6" s="23" t="n">
        <v>1.3</v>
      </c>
      <c r="H6" s="23" t="n">
        <v>1.2</v>
      </c>
      <c r="I6" s="23" t="n">
        <v>1</v>
      </c>
      <c r="J6" s="23" t="n">
        <v>1</v>
      </c>
      <c r="K6" s="23" t="n">
        <v>1</v>
      </c>
      <c r="L6" s="23" t="n">
        <v>1</v>
      </c>
      <c r="M6" s="23" t="n">
        <v>1.1</v>
      </c>
      <c r="N6" s="23" t="n">
        <v>1.1</v>
      </c>
      <c r="O6" s="24" t="n">
        <f aca="false">AVERAGE(C6:N6)</f>
        <v>1.0625</v>
      </c>
    </row>
    <row r="8" customFormat="false" ht="15" hidden="false" customHeight="true" outlineLevel="0" collapsed="false">
      <c r="A8" s="3" t="s">
        <v>176</v>
      </c>
    </row>
    <row r="9" customFormat="false" ht="15" hidden="false" customHeight="true" outlineLevel="0" collapsed="false">
      <c r="A9" s="25" t="str">
        <f aca="false">IF(Precificação!A6="","",Precificação!A6)</f>
        <v>Buquê 15 rosas com eucalipto</v>
      </c>
      <c r="B9" s="11" t="n">
        <v>80</v>
      </c>
      <c r="C9" s="16" t="n">
        <f aca="false">IF(OR($A9="",$B9=""),0,ROUND($B9*C$5,0))</f>
        <v>64</v>
      </c>
      <c r="D9" s="16" t="n">
        <f aca="false">IF(OR($A9="",$B9=""),0,ROUND($B9*D$5,0))</f>
        <v>64</v>
      </c>
      <c r="E9" s="16" t="n">
        <f aca="false">IF(OR($A9="",$B9=""),0,ROUND($B9*E$5,0))</f>
        <v>88</v>
      </c>
      <c r="F9" s="16" t="n">
        <f aca="false">IF(OR($A9="",$B9=""),0,ROUND($B9*F$5,0))</f>
        <v>80</v>
      </c>
      <c r="G9" s="16" t="n">
        <f aca="false">IF(OR($A9="",$B9=""),0,ROUND($B9*G$5,0))</f>
        <v>144</v>
      </c>
      <c r="H9" s="16" t="n">
        <f aca="false">IF(OR($A9="",$B9=""),0,ROUND($B9*H$5,0))</f>
        <v>120</v>
      </c>
      <c r="I9" s="16" t="n">
        <f aca="false">IF(OR($A9="",$B9=""),0,ROUND($B9*I$5,0))</f>
        <v>64</v>
      </c>
      <c r="J9" s="16" t="n">
        <f aca="false">IF(OR($A9="",$B9=""),0,ROUND($B9*J$5,0))</f>
        <v>80</v>
      </c>
      <c r="K9" s="16" t="n">
        <f aca="false">IF(OR($A9="",$B9=""),0,ROUND($B9*K$5,0))</f>
        <v>88</v>
      </c>
      <c r="L9" s="16" t="n">
        <f aca="false">IF(OR($A9="",$B9=""),0,ROUND($B9*L$5,0))</f>
        <v>80</v>
      </c>
      <c r="M9" s="16" t="n">
        <f aca="false">IF(OR($A9="",$B9=""),0,ROUND($B9*M$5,0))</f>
        <v>96</v>
      </c>
      <c r="N9" s="16" t="n">
        <f aca="false">IF(OR($A9="",$B9=""),0,ROUND($B9*N$5,0))</f>
        <v>104</v>
      </c>
      <c r="O9" s="16" t="n">
        <f aca="false">SUM(C9:N9)</f>
        <v>1072</v>
      </c>
    </row>
    <row r="10" customFormat="false" ht="15" hidden="false" customHeight="true" outlineLevel="0" collapsed="false">
      <c r="A10" s="25" t="str">
        <f aca="false">IF(Precificação!A7="","",Precificação!A7)</f>
        <v>Buquê 5 girassóis</v>
      </c>
      <c r="B10" s="11" t="n">
        <v>70</v>
      </c>
      <c r="C10" s="16" t="n">
        <f aca="false">IF(OR($A10="",$B10=""),0,ROUND($B10*C$5,0))</f>
        <v>56</v>
      </c>
      <c r="D10" s="16" t="n">
        <f aca="false">IF(OR($A10="",$B10=""),0,ROUND($B10*D$5,0))</f>
        <v>56</v>
      </c>
      <c r="E10" s="16" t="n">
        <f aca="false">IF(OR($A10="",$B10=""),0,ROUND($B10*E$5,0))</f>
        <v>77</v>
      </c>
      <c r="F10" s="16" t="n">
        <f aca="false">IF(OR($A10="",$B10=""),0,ROUND($B10*F$5,0))</f>
        <v>70</v>
      </c>
      <c r="G10" s="16" t="n">
        <f aca="false">IF(OR($A10="",$B10=""),0,ROUND($B10*G$5,0))</f>
        <v>126</v>
      </c>
      <c r="H10" s="16" t="n">
        <f aca="false">IF(OR($A10="",$B10=""),0,ROUND($B10*H$5,0))</f>
        <v>105</v>
      </c>
      <c r="I10" s="16" t="n">
        <f aca="false">IF(OR($A10="",$B10=""),0,ROUND($B10*I$5,0))</f>
        <v>56</v>
      </c>
      <c r="J10" s="16" t="n">
        <f aca="false">IF(OR($A10="",$B10=""),0,ROUND($B10*J$5,0))</f>
        <v>70</v>
      </c>
      <c r="K10" s="16" t="n">
        <f aca="false">IF(OR($A10="",$B10=""),0,ROUND($B10*K$5,0))</f>
        <v>77</v>
      </c>
      <c r="L10" s="16" t="n">
        <f aca="false">IF(OR($A10="",$B10=""),0,ROUND($B10*L$5,0))</f>
        <v>70</v>
      </c>
      <c r="M10" s="16" t="n">
        <f aca="false">IF(OR($A10="",$B10=""),0,ROUND($B10*M$5,0))</f>
        <v>84</v>
      </c>
      <c r="N10" s="16" t="n">
        <f aca="false">IF(OR($A10="",$B10=""),0,ROUND($B10*N$5,0))</f>
        <v>91</v>
      </c>
      <c r="O10" s="16" t="n">
        <f aca="false">SUM(C10:N10)</f>
        <v>938</v>
      </c>
    </row>
    <row r="11" customFormat="false" ht="15" hidden="false" customHeight="true" outlineLevel="0" collapsed="false">
      <c r="A11" s="25" t="str">
        <f aca="false">IF(Precificação!A8="","",Precificação!A8)</f>
        <v>Mix: rosas e alstroemérias</v>
      </c>
      <c r="B11" s="11" t="n">
        <v>60</v>
      </c>
      <c r="C11" s="16" t="n">
        <f aca="false">IF(OR($A11="",$B11=""),0,ROUND($B11*C$5,0))</f>
        <v>48</v>
      </c>
      <c r="D11" s="16" t="n">
        <f aca="false">IF(OR($A11="",$B11=""),0,ROUND($B11*D$5,0))</f>
        <v>48</v>
      </c>
      <c r="E11" s="16" t="n">
        <f aca="false">IF(OR($A11="",$B11=""),0,ROUND($B11*E$5,0))</f>
        <v>66</v>
      </c>
      <c r="F11" s="16" t="n">
        <f aca="false">IF(OR($A11="",$B11=""),0,ROUND($B11*F$5,0))</f>
        <v>60</v>
      </c>
      <c r="G11" s="16" t="n">
        <f aca="false">IF(OR($A11="",$B11=""),0,ROUND($B11*G$5,0))</f>
        <v>108</v>
      </c>
      <c r="H11" s="16" t="n">
        <f aca="false">IF(OR($A11="",$B11=""),0,ROUND($B11*H$5,0))</f>
        <v>90</v>
      </c>
      <c r="I11" s="16" t="n">
        <f aca="false">IF(OR($A11="",$B11=""),0,ROUND($B11*I$5,0))</f>
        <v>48</v>
      </c>
      <c r="J11" s="16" t="n">
        <f aca="false">IF(OR($A11="",$B11=""),0,ROUND($B11*J$5,0))</f>
        <v>60</v>
      </c>
      <c r="K11" s="16" t="n">
        <f aca="false">IF(OR($A11="",$B11=""),0,ROUND($B11*K$5,0))</f>
        <v>66</v>
      </c>
      <c r="L11" s="16" t="n">
        <f aca="false">IF(OR($A11="",$B11=""),0,ROUND($B11*L$5,0))</f>
        <v>60</v>
      </c>
      <c r="M11" s="16" t="n">
        <f aca="false">IF(OR($A11="",$B11=""),0,ROUND($B11*M$5,0))</f>
        <v>72</v>
      </c>
      <c r="N11" s="16" t="n">
        <f aca="false">IF(OR($A11="",$B11=""),0,ROUND($B11*N$5,0))</f>
        <v>78</v>
      </c>
      <c r="O11" s="16" t="n">
        <f aca="false">SUM(C11:N11)</f>
        <v>804</v>
      </c>
    </row>
    <row r="12" customFormat="false" ht="15" hidden="false" customHeight="true" outlineLevel="0" collapsed="false">
      <c r="A12" s="25" t="str">
        <f aca="false">IF(Precificação!A9="","",Precificação!A9)</f>
        <v>Rosa avulsa 60 cm</v>
      </c>
      <c r="B12" s="11" t="n">
        <v>200</v>
      </c>
      <c r="C12" s="16" t="n">
        <f aca="false">IF(OR($A12="",$B12=""),0,ROUND($B12*C$5,0))</f>
        <v>160</v>
      </c>
      <c r="D12" s="16" t="n">
        <f aca="false">IF(OR($A12="",$B12=""),0,ROUND($B12*D$5,0))</f>
        <v>160</v>
      </c>
      <c r="E12" s="16" t="n">
        <f aca="false">IF(OR($A12="",$B12=""),0,ROUND($B12*E$5,0))</f>
        <v>220</v>
      </c>
      <c r="F12" s="16" t="n">
        <f aca="false">IF(OR($A12="",$B12=""),0,ROUND($B12*F$5,0))</f>
        <v>200</v>
      </c>
      <c r="G12" s="16" t="n">
        <f aca="false">IF(OR($A12="",$B12=""),0,ROUND($B12*G$5,0))</f>
        <v>360</v>
      </c>
      <c r="H12" s="16" t="n">
        <f aca="false">IF(OR($A12="",$B12=""),0,ROUND($B12*H$5,0))</f>
        <v>300</v>
      </c>
      <c r="I12" s="16" t="n">
        <f aca="false">IF(OR($A12="",$B12=""),0,ROUND($B12*I$5,0))</f>
        <v>160</v>
      </c>
      <c r="J12" s="16" t="n">
        <f aca="false">IF(OR($A12="",$B12=""),0,ROUND($B12*J$5,0))</f>
        <v>200</v>
      </c>
      <c r="K12" s="16" t="n">
        <f aca="false">IF(OR($A12="",$B12=""),0,ROUND($B12*K$5,0))</f>
        <v>220</v>
      </c>
      <c r="L12" s="16" t="n">
        <f aca="false">IF(OR($A12="",$B12=""),0,ROUND($B12*L$5,0))</f>
        <v>200</v>
      </c>
      <c r="M12" s="16" t="n">
        <f aca="false">IF(OR($A12="",$B12=""),0,ROUND($B12*M$5,0))</f>
        <v>240</v>
      </c>
      <c r="N12" s="16" t="n">
        <f aca="false">IF(OR($A12="",$B12=""),0,ROUND($B12*N$5,0))</f>
        <v>260</v>
      </c>
      <c r="O12" s="16" t="n">
        <f aca="false">SUM(C12:N12)</f>
        <v>2680</v>
      </c>
    </row>
    <row r="13" customFormat="false" ht="15" hidden="false" customHeight="true" outlineLevel="0" collapsed="false">
      <c r="A13" s="25" t="str">
        <f aca="false">IF(Precificação!A10="","",Precificação!A10)</f>
        <v/>
      </c>
      <c r="B13" s="11"/>
      <c r="C13" s="16" t="n">
        <f aca="false">IF(OR($A13="",$B13=""),0,ROUND($B13*C$5,0))</f>
        <v>0</v>
      </c>
      <c r="D13" s="16" t="n">
        <f aca="false">IF(OR($A13="",$B13=""),0,ROUND($B13*D$5,0))</f>
        <v>0</v>
      </c>
      <c r="E13" s="16" t="n">
        <f aca="false">IF(OR($A13="",$B13=""),0,ROUND($B13*E$5,0))</f>
        <v>0</v>
      </c>
      <c r="F13" s="16" t="n">
        <f aca="false">IF(OR($A13="",$B13=""),0,ROUND($B13*F$5,0))</f>
        <v>0</v>
      </c>
      <c r="G13" s="16" t="n">
        <f aca="false">IF(OR($A13="",$B13=""),0,ROUND($B13*G$5,0))</f>
        <v>0</v>
      </c>
      <c r="H13" s="16" t="n">
        <f aca="false">IF(OR($A13="",$B13=""),0,ROUND($B13*H$5,0))</f>
        <v>0</v>
      </c>
      <c r="I13" s="16" t="n">
        <f aca="false">IF(OR($A13="",$B13=""),0,ROUND($B13*I$5,0))</f>
        <v>0</v>
      </c>
      <c r="J13" s="16" t="n">
        <f aca="false">IF(OR($A13="",$B13=""),0,ROUND($B13*J$5,0))</f>
        <v>0</v>
      </c>
      <c r="K13" s="16" t="n">
        <f aca="false">IF(OR($A13="",$B13=""),0,ROUND($B13*K$5,0))</f>
        <v>0</v>
      </c>
      <c r="L13" s="16" t="n">
        <f aca="false">IF(OR($A13="",$B13=""),0,ROUND($B13*L$5,0))</f>
        <v>0</v>
      </c>
      <c r="M13" s="16" t="n">
        <f aca="false">IF(OR($A13="",$B13=""),0,ROUND($B13*M$5,0))</f>
        <v>0</v>
      </c>
      <c r="N13" s="16" t="n">
        <f aca="false">IF(OR($A13="",$B13=""),0,ROUND($B13*N$5,0))</f>
        <v>0</v>
      </c>
      <c r="O13" s="16" t="n">
        <f aca="false">SUM(C13:N13)</f>
        <v>0</v>
      </c>
    </row>
    <row r="14" customFormat="false" ht="15" hidden="false" customHeight="true" outlineLevel="0" collapsed="false">
      <c r="A14" s="25" t="str">
        <f aca="false">IF(Precificação!A11="","",Precificação!A11)</f>
        <v/>
      </c>
      <c r="B14" s="11"/>
      <c r="C14" s="16" t="n">
        <f aca="false">IF(OR($A14="",$B14=""),0,ROUND($B14*C$5,0))</f>
        <v>0</v>
      </c>
      <c r="D14" s="16" t="n">
        <f aca="false">IF(OR($A14="",$B14=""),0,ROUND($B14*D$5,0))</f>
        <v>0</v>
      </c>
      <c r="E14" s="16" t="n">
        <f aca="false">IF(OR($A14="",$B14=""),0,ROUND($B14*E$5,0))</f>
        <v>0</v>
      </c>
      <c r="F14" s="16" t="n">
        <f aca="false">IF(OR($A14="",$B14=""),0,ROUND($B14*F$5,0))</f>
        <v>0</v>
      </c>
      <c r="G14" s="16" t="n">
        <f aca="false">IF(OR($A14="",$B14=""),0,ROUND($B14*G$5,0))</f>
        <v>0</v>
      </c>
      <c r="H14" s="16" t="n">
        <f aca="false">IF(OR($A14="",$B14=""),0,ROUND($B14*H$5,0))</f>
        <v>0</v>
      </c>
      <c r="I14" s="16" t="n">
        <f aca="false">IF(OR($A14="",$B14=""),0,ROUND($B14*I$5,0))</f>
        <v>0</v>
      </c>
      <c r="J14" s="16" t="n">
        <f aca="false">IF(OR($A14="",$B14=""),0,ROUND($B14*J$5,0))</f>
        <v>0</v>
      </c>
      <c r="K14" s="16" t="n">
        <f aca="false">IF(OR($A14="",$B14=""),0,ROUND($B14*K$5,0))</f>
        <v>0</v>
      </c>
      <c r="L14" s="16" t="n">
        <f aca="false">IF(OR($A14="",$B14=""),0,ROUND($B14*L$5,0))</f>
        <v>0</v>
      </c>
      <c r="M14" s="16" t="n">
        <f aca="false">IF(OR($A14="",$B14=""),0,ROUND($B14*M$5,0))</f>
        <v>0</v>
      </c>
      <c r="N14" s="16" t="n">
        <f aca="false">IF(OR($A14="",$B14=""),0,ROUND($B14*N$5,0))</f>
        <v>0</v>
      </c>
      <c r="O14" s="16" t="n">
        <f aca="false">SUM(C14:N14)</f>
        <v>0</v>
      </c>
    </row>
    <row r="15" customFormat="false" ht="15" hidden="false" customHeight="true" outlineLevel="0" collapsed="false">
      <c r="A15" s="25" t="str">
        <f aca="false">IF(Precificação!A12="","",Precificação!A12)</f>
        <v/>
      </c>
      <c r="B15" s="11"/>
      <c r="C15" s="16" t="n">
        <f aca="false">IF(OR($A15="",$B15=""),0,ROUND($B15*C$5,0))</f>
        <v>0</v>
      </c>
      <c r="D15" s="16" t="n">
        <f aca="false">IF(OR($A15="",$B15=""),0,ROUND($B15*D$5,0))</f>
        <v>0</v>
      </c>
      <c r="E15" s="16" t="n">
        <f aca="false">IF(OR($A15="",$B15=""),0,ROUND($B15*E$5,0))</f>
        <v>0</v>
      </c>
      <c r="F15" s="16" t="n">
        <f aca="false">IF(OR($A15="",$B15=""),0,ROUND($B15*F$5,0))</f>
        <v>0</v>
      </c>
      <c r="G15" s="16" t="n">
        <f aca="false">IF(OR($A15="",$B15=""),0,ROUND($B15*G$5,0))</f>
        <v>0</v>
      </c>
      <c r="H15" s="16" t="n">
        <f aca="false">IF(OR($A15="",$B15=""),0,ROUND($B15*H$5,0))</f>
        <v>0</v>
      </c>
      <c r="I15" s="16" t="n">
        <f aca="false">IF(OR($A15="",$B15=""),0,ROUND($B15*I$5,0))</f>
        <v>0</v>
      </c>
      <c r="J15" s="16" t="n">
        <f aca="false">IF(OR($A15="",$B15=""),0,ROUND($B15*J$5,0))</f>
        <v>0</v>
      </c>
      <c r="K15" s="16" t="n">
        <f aca="false">IF(OR($A15="",$B15=""),0,ROUND($B15*K$5,0))</f>
        <v>0</v>
      </c>
      <c r="L15" s="16" t="n">
        <f aca="false">IF(OR($A15="",$B15=""),0,ROUND($B15*L$5,0))</f>
        <v>0</v>
      </c>
      <c r="M15" s="16" t="n">
        <f aca="false">IF(OR($A15="",$B15=""),0,ROUND($B15*M$5,0))</f>
        <v>0</v>
      </c>
      <c r="N15" s="16" t="n">
        <f aca="false">IF(OR($A15="",$B15=""),0,ROUND($B15*N$5,0))</f>
        <v>0</v>
      </c>
      <c r="O15" s="16" t="n">
        <f aca="false">SUM(C15:N15)</f>
        <v>0</v>
      </c>
    </row>
    <row r="16" customFormat="false" ht="15" hidden="false" customHeight="true" outlineLevel="0" collapsed="false">
      <c r="A16" s="25" t="str">
        <f aca="false">IF(Precificação!A13="","",Precificação!A13)</f>
        <v/>
      </c>
      <c r="B16" s="11"/>
      <c r="C16" s="16" t="n">
        <f aca="false">IF(OR($A16="",$B16=""),0,ROUND($B16*C$5,0))</f>
        <v>0</v>
      </c>
      <c r="D16" s="16" t="n">
        <f aca="false">IF(OR($A16="",$B16=""),0,ROUND($B16*D$5,0))</f>
        <v>0</v>
      </c>
      <c r="E16" s="16" t="n">
        <f aca="false">IF(OR($A16="",$B16=""),0,ROUND($B16*E$5,0))</f>
        <v>0</v>
      </c>
      <c r="F16" s="16" t="n">
        <f aca="false">IF(OR($A16="",$B16=""),0,ROUND($B16*F$5,0))</f>
        <v>0</v>
      </c>
      <c r="G16" s="16" t="n">
        <f aca="false">IF(OR($A16="",$B16=""),0,ROUND($B16*G$5,0))</f>
        <v>0</v>
      </c>
      <c r="H16" s="16" t="n">
        <f aca="false">IF(OR($A16="",$B16=""),0,ROUND($B16*H$5,0))</f>
        <v>0</v>
      </c>
      <c r="I16" s="16" t="n">
        <f aca="false">IF(OR($A16="",$B16=""),0,ROUND($B16*I$5,0))</f>
        <v>0</v>
      </c>
      <c r="J16" s="16" t="n">
        <f aca="false">IF(OR($A16="",$B16=""),0,ROUND($B16*J$5,0))</f>
        <v>0</v>
      </c>
      <c r="K16" s="16" t="n">
        <f aca="false">IF(OR($A16="",$B16=""),0,ROUND($B16*K$5,0))</f>
        <v>0</v>
      </c>
      <c r="L16" s="16" t="n">
        <f aca="false">IF(OR($A16="",$B16=""),0,ROUND($B16*L$5,0))</f>
        <v>0</v>
      </c>
      <c r="M16" s="16" t="n">
        <f aca="false">IF(OR($A16="",$B16=""),0,ROUND($B16*M$5,0))</f>
        <v>0</v>
      </c>
      <c r="N16" s="16" t="n">
        <f aca="false">IF(OR($A16="",$B16=""),0,ROUND($B16*N$5,0))</f>
        <v>0</v>
      </c>
      <c r="O16" s="16" t="n">
        <f aca="false">SUM(C16:N16)</f>
        <v>0</v>
      </c>
    </row>
    <row r="17" customFormat="false" ht="15" hidden="false" customHeight="true" outlineLevel="0" collapsed="false">
      <c r="A17" s="25" t="str">
        <f aca="false">IF(Precificação!A14="","",Precificação!A14)</f>
        <v/>
      </c>
      <c r="B17" s="11"/>
      <c r="C17" s="16" t="n">
        <f aca="false">IF(OR($A17="",$B17=""),0,ROUND($B17*C$5,0))</f>
        <v>0</v>
      </c>
      <c r="D17" s="16" t="n">
        <f aca="false">IF(OR($A17="",$B17=""),0,ROUND($B17*D$5,0))</f>
        <v>0</v>
      </c>
      <c r="E17" s="16" t="n">
        <f aca="false">IF(OR($A17="",$B17=""),0,ROUND($B17*E$5,0))</f>
        <v>0</v>
      </c>
      <c r="F17" s="16" t="n">
        <f aca="false">IF(OR($A17="",$B17=""),0,ROUND($B17*F$5,0))</f>
        <v>0</v>
      </c>
      <c r="G17" s="16" t="n">
        <f aca="false">IF(OR($A17="",$B17=""),0,ROUND($B17*G$5,0))</f>
        <v>0</v>
      </c>
      <c r="H17" s="16" t="n">
        <f aca="false">IF(OR($A17="",$B17=""),0,ROUND($B17*H$5,0))</f>
        <v>0</v>
      </c>
      <c r="I17" s="16" t="n">
        <f aca="false">IF(OR($A17="",$B17=""),0,ROUND($B17*I$5,0))</f>
        <v>0</v>
      </c>
      <c r="J17" s="16" t="n">
        <f aca="false">IF(OR($A17="",$B17=""),0,ROUND($B17*J$5,0))</f>
        <v>0</v>
      </c>
      <c r="K17" s="16" t="n">
        <f aca="false">IF(OR($A17="",$B17=""),0,ROUND($B17*K$5,0))</f>
        <v>0</v>
      </c>
      <c r="L17" s="16" t="n">
        <f aca="false">IF(OR($A17="",$B17=""),0,ROUND($B17*L$5,0))</f>
        <v>0</v>
      </c>
      <c r="M17" s="16" t="n">
        <f aca="false">IF(OR($A17="",$B17=""),0,ROUND($B17*M$5,0))</f>
        <v>0</v>
      </c>
      <c r="N17" s="16" t="n">
        <f aca="false">IF(OR($A17="",$B17=""),0,ROUND($B17*N$5,0))</f>
        <v>0</v>
      </c>
      <c r="O17" s="16" t="n">
        <f aca="false">SUM(C17:N17)</f>
        <v>0</v>
      </c>
    </row>
    <row r="18" customFormat="false" ht="15" hidden="false" customHeight="true" outlineLevel="0" collapsed="false">
      <c r="A18" s="25" t="str">
        <f aca="false">IF(Precificação!A15="","",Precificação!A15)</f>
        <v/>
      </c>
      <c r="B18" s="11"/>
      <c r="C18" s="16" t="n">
        <f aca="false">IF(OR($A18="",$B18=""),0,ROUND($B18*C$5,0))</f>
        <v>0</v>
      </c>
      <c r="D18" s="16" t="n">
        <f aca="false">IF(OR($A18="",$B18=""),0,ROUND($B18*D$5,0))</f>
        <v>0</v>
      </c>
      <c r="E18" s="16" t="n">
        <f aca="false">IF(OR($A18="",$B18=""),0,ROUND($B18*E$5,0))</f>
        <v>0</v>
      </c>
      <c r="F18" s="16" t="n">
        <f aca="false">IF(OR($A18="",$B18=""),0,ROUND($B18*F$5,0))</f>
        <v>0</v>
      </c>
      <c r="G18" s="16" t="n">
        <f aca="false">IF(OR($A18="",$B18=""),0,ROUND($B18*G$5,0))</f>
        <v>0</v>
      </c>
      <c r="H18" s="16" t="n">
        <f aca="false">IF(OR($A18="",$B18=""),0,ROUND($B18*H$5,0))</f>
        <v>0</v>
      </c>
      <c r="I18" s="16" t="n">
        <f aca="false">IF(OR($A18="",$B18=""),0,ROUND($B18*I$5,0))</f>
        <v>0</v>
      </c>
      <c r="J18" s="16" t="n">
        <f aca="false">IF(OR($A18="",$B18=""),0,ROUND($B18*J$5,0))</f>
        <v>0</v>
      </c>
      <c r="K18" s="16" t="n">
        <f aca="false">IF(OR($A18="",$B18=""),0,ROUND($B18*K$5,0))</f>
        <v>0</v>
      </c>
      <c r="L18" s="16" t="n">
        <f aca="false">IF(OR($A18="",$B18=""),0,ROUND($B18*L$5,0))</f>
        <v>0</v>
      </c>
      <c r="M18" s="16" t="n">
        <f aca="false">IF(OR($A18="",$B18=""),0,ROUND($B18*M$5,0))</f>
        <v>0</v>
      </c>
      <c r="N18" s="16" t="n">
        <f aca="false">IF(OR($A18="",$B18=""),0,ROUND($B18*N$5,0))</f>
        <v>0</v>
      </c>
      <c r="O18" s="16" t="n">
        <f aca="false">SUM(C18:N18)</f>
        <v>0</v>
      </c>
    </row>
    <row r="19" customFormat="false" ht="15" hidden="false" customHeight="true" outlineLevel="0" collapsed="false">
      <c r="A19" s="25" t="str">
        <f aca="false">IF(Precificação!A16="","",Precificação!A16)</f>
        <v/>
      </c>
      <c r="B19" s="11"/>
      <c r="C19" s="16" t="n">
        <f aca="false">IF(OR($A19="",$B19=""),0,ROUND($B19*C$5,0))</f>
        <v>0</v>
      </c>
      <c r="D19" s="16" t="n">
        <f aca="false">IF(OR($A19="",$B19=""),0,ROUND($B19*D$5,0))</f>
        <v>0</v>
      </c>
      <c r="E19" s="16" t="n">
        <f aca="false">IF(OR($A19="",$B19=""),0,ROUND($B19*E$5,0))</f>
        <v>0</v>
      </c>
      <c r="F19" s="16" t="n">
        <f aca="false">IF(OR($A19="",$B19=""),0,ROUND($B19*F$5,0))</f>
        <v>0</v>
      </c>
      <c r="G19" s="16" t="n">
        <f aca="false">IF(OR($A19="",$B19=""),0,ROUND($B19*G$5,0))</f>
        <v>0</v>
      </c>
      <c r="H19" s="16" t="n">
        <f aca="false">IF(OR($A19="",$B19=""),0,ROUND($B19*H$5,0))</f>
        <v>0</v>
      </c>
      <c r="I19" s="16" t="n">
        <f aca="false">IF(OR($A19="",$B19=""),0,ROUND($B19*I$5,0))</f>
        <v>0</v>
      </c>
      <c r="J19" s="16" t="n">
        <f aca="false">IF(OR($A19="",$B19=""),0,ROUND($B19*J$5,0))</f>
        <v>0</v>
      </c>
      <c r="K19" s="16" t="n">
        <f aca="false">IF(OR($A19="",$B19=""),0,ROUND($B19*K$5,0))</f>
        <v>0</v>
      </c>
      <c r="L19" s="16" t="n">
        <f aca="false">IF(OR($A19="",$B19=""),0,ROUND($B19*L$5,0))</f>
        <v>0</v>
      </c>
      <c r="M19" s="16" t="n">
        <f aca="false">IF(OR($A19="",$B19=""),0,ROUND($B19*M$5,0))</f>
        <v>0</v>
      </c>
      <c r="N19" s="16" t="n">
        <f aca="false">IF(OR($A19="",$B19=""),0,ROUND($B19*N$5,0))</f>
        <v>0</v>
      </c>
      <c r="O19" s="16" t="n">
        <f aca="false">SUM(C19:N19)</f>
        <v>0</v>
      </c>
    </row>
    <row r="20" customFormat="false" ht="15" hidden="false" customHeight="true" outlineLevel="0" collapsed="false">
      <c r="A20" s="25" t="str">
        <f aca="false">IF(Precificação!A17="","",Precificação!A17)</f>
        <v/>
      </c>
      <c r="B20" s="11"/>
      <c r="C20" s="16" t="n">
        <f aca="false">IF(OR($A20="",$B20=""),0,ROUND($B20*C$5,0))</f>
        <v>0</v>
      </c>
      <c r="D20" s="16" t="n">
        <f aca="false">IF(OR($A20="",$B20=""),0,ROUND($B20*D$5,0))</f>
        <v>0</v>
      </c>
      <c r="E20" s="16" t="n">
        <f aca="false">IF(OR($A20="",$B20=""),0,ROUND($B20*E$5,0))</f>
        <v>0</v>
      </c>
      <c r="F20" s="16" t="n">
        <f aca="false">IF(OR($A20="",$B20=""),0,ROUND($B20*F$5,0))</f>
        <v>0</v>
      </c>
      <c r="G20" s="16" t="n">
        <f aca="false">IF(OR($A20="",$B20=""),0,ROUND($B20*G$5,0))</f>
        <v>0</v>
      </c>
      <c r="H20" s="16" t="n">
        <f aca="false">IF(OR($A20="",$B20=""),0,ROUND($B20*H$5,0))</f>
        <v>0</v>
      </c>
      <c r="I20" s="16" t="n">
        <f aca="false">IF(OR($A20="",$B20=""),0,ROUND($B20*I$5,0))</f>
        <v>0</v>
      </c>
      <c r="J20" s="16" t="n">
        <f aca="false">IF(OR($A20="",$B20=""),0,ROUND($B20*J$5,0))</f>
        <v>0</v>
      </c>
      <c r="K20" s="16" t="n">
        <f aca="false">IF(OR($A20="",$B20=""),0,ROUND($B20*K$5,0))</f>
        <v>0</v>
      </c>
      <c r="L20" s="16" t="n">
        <f aca="false">IF(OR($A20="",$B20=""),0,ROUND($B20*L$5,0))</f>
        <v>0</v>
      </c>
      <c r="M20" s="16" t="n">
        <f aca="false">IF(OR($A20="",$B20=""),0,ROUND($B20*M$5,0))</f>
        <v>0</v>
      </c>
      <c r="N20" s="16" t="n">
        <f aca="false">IF(OR($A20="",$B20=""),0,ROUND($B20*N$5,0))</f>
        <v>0</v>
      </c>
      <c r="O20" s="16" t="n">
        <f aca="false">SUM(C20:N20)</f>
        <v>0</v>
      </c>
    </row>
    <row r="21" customFormat="false" ht="15" hidden="false" customHeight="true" outlineLevel="0" collapsed="false">
      <c r="A21" s="25" t="str">
        <f aca="false">IF(Precificação!A18="","",Precificação!A18)</f>
        <v/>
      </c>
      <c r="B21" s="11"/>
      <c r="C21" s="16" t="n">
        <f aca="false">IF(OR($A21="",$B21=""),0,ROUND($B21*C$5,0))</f>
        <v>0</v>
      </c>
      <c r="D21" s="16" t="n">
        <f aca="false">IF(OR($A21="",$B21=""),0,ROUND($B21*D$5,0))</f>
        <v>0</v>
      </c>
      <c r="E21" s="16" t="n">
        <f aca="false">IF(OR($A21="",$B21=""),0,ROUND($B21*E$5,0))</f>
        <v>0</v>
      </c>
      <c r="F21" s="16" t="n">
        <f aca="false">IF(OR($A21="",$B21=""),0,ROUND($B21*F$5,0))</f>
        <v>0</v>
      </c>
      <c r="G21" s="16" t="n">
        <f aca="false">IF(OR($A21="",$B21=""),0,ROUND($B21*G$5,0))</f>
        <v>0</v>
      </c>
      <c r="H21" s="16" t="n">
        <f aca="false">IF(OR($A21="",$B21=""),0,ROUND($B21*H$5,0))</f>
        <v>0</v>
      </c>
      <c r="I21" s="16" t="n">
        <f aca="false">IF(OR($A21="",$B21=""),0,ROUND($B21*I$5,0))</f>
        <v>0</v>
      </c>
      <c r="J21" s="16" t="n">
        <f aca="false">IF(OR($A21="",$B21=""),0,ROUND($B21*J$5,0))</f>
        <v>0</v>
      </c>
      <c r="K21" s="16" t="n">
        <f aca="false">IF(OR($A21="",$B21=""),0,ROUND($B21*K$5,0))</f>
        <v>0</v>
      </c>
      <c r="L21" s="16" t="n">
        <f aca="false">IF(OR($A21="",$B21=""),0,ROUND($B21*L$5,0))</f>
        <v>0</v>
      </c>
      <c r="M21" s="16" t="n">
        <f aca="false">IF(OR($A21="",$B21=""),0,ROUND($B21*M$5,0))</f>
        <v>0</v>
      </c>
      <c r="N21" s="16" t="n">
        <f aca="false">IF(OR($A21="",$B21=""),0,ROUND($B21*N$5,0))</f>
        <v>0</v>
      </c>
      <c r="O21" s="16" t="n">
        <f aca="false">SUM(C21:N21)</f>
        <v>0</v>
      </c>
    </row>
    <row r="22" customFormat="false" ht="15" hidden="false" customHeight="true" outlineLevel="0" collapsed="false">
      <c r="A22" s="25" t="str">
        <f aca="false">IF(Precificação!A19="","",Precificação!A19)</f>
        <v/>
      </c>
      <c r="B22" s="11"/>
      <c r="C22" s="16" t="n">
        <f aca="false">IF(OR($A22="",$B22=""),0,ROUND($B22*C$5,0))</f>
        <v>0</v>
      </c>
      <c r="D22" s="16" t="n">
        <f aca="false">IF(OR($A22="",$B22=""),0,ROUND($B22*D$5,0))</f>
        <v>0</v>
      </c>
      <c r="E22" s="16" t="n">
        <f aca="false">IF(OR($A22="",$B22=""),0,ROUND($B22*E$5,0))</f>
        <v>0</v>
      </c>
      <c r="F22" s="16" t="n">
        <f aca="false">IF(OR($A22="",$B22=""),0,ROUND($B22*F$5,0))</f>
        <v>0</v>
      </c>
      <c r="G22" s="16" t="n">
        <f aca="false">IF(OR($A22="",$B22=""),0,ROUND($B22*G$5,0))</f>
        <v>0</v>
      </c>
      <c r="H22" s="16" t="n">
        <f aca="false">IF(OR($A22="",$B22=""),0,ROUND($B22*H$5,0))</f>
        <v>0</v>
      </c>
      <c r="I22" s="16" t="n">
        <f aca="false">IF(OR($A22="",$B22=""),0,ROUND($B22*I$5,0))</f>
        <v>0</v>
      </c>
      <c r="J22" s="16" t="n">
        <f aca="false">IF(OR($A22="",$B22=""),0,ROUND($B22*J$5,0))</f>
        <v>0</v>
      </c>
      <c r="K22" s="16" t="n">
        <f aca="false">IF(OR($A22="",$B22=""),0,ROUND($B22*K$5,0))</f>
        <v>0</v>
      </c>
      <c r="L22" s="16" t="n">
        <f aca="false">IF(OR($A22="",$B22=""),0,ROUND($B22*L$5,0))</f>
        <v>0</v>
      </c>
      <c r="M22" s="16" t="n">
        <f aca="false">IF(OR($A22="",$B22=""),0,ROUND($B22*M$5,0))</f>
        <v>0</v>
      </c>
      <c r="N22" s="16" t="n">
        <f aca="false">IF(OR($A22="",$B22=""),0,ROUND($B22*N$5,0))</f>
        <v>0</v>
      </c>
      <c r="O22" s="16" t="n">
        <f aca="false">SUM(C22:N22)</f>
        <v>0</v>
      </c>
    </row>
    <row r="23" customFormat="false" ht="15" hidden="false" customHeight="true" outlineLevel="0" collapsed="false">
      <c r="A23" s="25" t="str">
        <f aca="false">IF(Precificação!A20="","",Precificação!A20)</f>
        <v/>
      </c>
      <c r="B23" s="11"/>
      <c r="C23" s="16" t="n">
        <f aca="false">IF(OR($A23="",$B23=""),0,ROUND($B23*C$5,0))</f>
        <v>0</v>
      </c>
      <c r="D23" s="16" t="n">
        <f aca="false">IF(OR($A23="",$B23=""),0,ROUND($B23*D$5,0))</f>
        <v>0</v>
      </c>
      <c r="E23" s="16" t="n">
        <f aca="false">IF(OR($A23="",$B23=""),0,ROUND($B23*E$5,0))</f>
        <v>0</v>
      </c>
      <c r="F23" s="16" t="n">
        <f aca="false">IF(OR($A23="",$B23=""),0,ROUND($B23*F$5,0))</f>
        <v>0</v>
      </c>
      <c r="G23" s="16" t="n">
        <f aca="false">IF(OR($A23="",$B23=""),0,ROUND($B23*G$5,0))</f>
        <v>0</v>
      </c>
      <c r="H23" s="16" t="n">
        <f aca="false">IF(OR($A23="",$B23=""),0,ROUND($B23*H$5,0))</f>
        <v>0</v>
      </c>
      <c r="I23" s="16" t="n">
        <f aca="false">IF(OR($A23="",$B23=""),0,ROUND($B23*I$5,0))</f>
        <v>0</v>
      </c>
      <c r="J23" s="16" t="n">
        <f aca="false">IF(OR($A23="",$B23=""),0,ROUND($B23*J$5,0))</f>
        <v>0</v>
      </c>
      <c r="K23" s="16" t="n">
        <f aca="false">IF(OR($A23="",$B23=""),0,ROUND($B23*K$5,0))</f>
        <v>0</v>
      </c>
      <c r="L23" s="16" t="n">
        <f aca="false">IF(OR($A23="",$B23=""),0,ROUND($B23*L$5,0))</f>
        <v>0</v>
      </c>
      <c r="M23" s="16" t="n">
        <f aca="false">IF(OR($A23="",$B23=""),0,ROUND($B23*M$5,0))</f>
        <v>0</v>
      </c>
      <c r="N23" s="16" t="n">
        <f aca="false">IF(OR($A23="",$B23=""),0,ROUND($B23*N$5,0))</f>
        <v>0</v>
      </c>
      <c r="O23" s="16" t="n">
        <f aca="false">SUM(C23:N23)</f>
        <v>0</v>
      </c>
    </row>
    <row r="24" customFormat="false" ht="15" hidden="false" customHeight="true" outlineLevel="0" collapsed="false">
      <c r="A24" s="1" t="s">
        <v>144</v>
      </c>
      <c r="B24" s="11" t="n">
        <v>80</v>
      </c>
      <c r="C24" s="16" t="n">
        <f aca="false">ROUND($B$24*C$5,0)</f>
        <v>64</v>
      </c>
      <c r="D24" s="16" t="n">
        <f aca="false">ROUND($B$24*D$5,0)</f>
        <v>64</v>
      </c>
      <c r="E24" s="16" t="n">
        <f aca="false">ROUND($B$24*E$5,0)</f>
        <v>88</v>
      </c>
      <c r="F24" s="16" t="n">
        <f aca="false">ROUND($B$24*F$5,0)</f>
        <v>80</v>
      </c>
      <c r="G24" s="16" t="n">
        <f aca="false">ROUND($B$24*G$5,0)</f>
        <v>144</v>
      </c>
      <c r="H24" s="16" t="n">
        <f aca="false">ROUND($B$24*H$5,0)</f>
        <v>120</v>
      </c>
      <c r="I24" s="16" t="n">
        <f aca="false">ROUND($B$24*I$5,0)</f>
        <v>64</v>
      </c>
      <c r="J24" s="16" t="n">
        <f aca="false">ROUND($B$24*J$5,0)</f>
        <v>80</v>
      </c>
      <c r="K24" s="16" t="n">
        <f aca="false">ROUND($B$24*K$5,0)</f>
        <v>88</v>
      </c>
      <c r="L24" s="16" t="n">
        <f aca="false">ROUND($B$24*L$5,0)</f>
        <v>80</v>
      </c>
      <c r="M24" s="16" t="n">
        <f aca="false">ROUND($B$24*M$5,0)</f>
        <v>96</v>
      </c>
      <c r="N24" s="16" t="n">
        <f aca="false">ROUND($B$24*N$5,0)</f>
        <v>104</v>
      </c>
      <c r="O24" s="16" t="n">
        <f aca="false">SUM(C24:N24)</f>
        <v>1072</v>
      </c>
    </row>
    <row r="26" customFormat="false" ht="15" hidden="false" customHeight="true" outlineLevel="0" collapsed="false">
      <c r="A26" s="3" t="s">
        <v>177</v>
      </c>
    </row>
    <row r="27" customFormat="false" ht="15" hidden="false" customHeight="true" outlineLevel="0" collapsed="false">
      <c r="A27" s="4" t="s">
        <v>178</v>
      </c>
      <c r="C27" s="17" t="n">
        <f aca="false">SUMPRODUCT(C9:C23,Precificação!$J$6:$J$20)</f>
        <v>31080</v>
      </c>
      <c r="D27" s="17" t="n">
        <f aca="false">SUMPRODUCT(D9:D23,Precificação!$J$6:$J$20)</f>
        <v>31080</v>
      </c>
      <c r="E27" s="17" t="n">
        <f aca="false">SUMPRODUCT(E9:E23,Precificação!$J$6:$J$20)</f>
        <v>42735</v>
      </c>
      <c r="F27" s="17" t="n">
        <f aca="false">SUMPRODUCT(F9:F23,Precificação!$J$6:$J$20)</f>
        <v>38850</v>
      </c>
      <c r="G27" s="17" t="n">
        <f aca="false">SUMPRODUCT(G9:G23,Precificação!$J$6:$J$20)</f>
        <v>69930</v>
      </c>
      <c r="H27" s="17" t="n">
        <f aca="false">SUMPRODUCT(H9:H23,Precificação!$J$6:$J$20)</f>
        <v>58275</v>
      </c>
      <c r="I27" s="17" t="n">
        <f aca="false">SUMPRODUCT(I9:I23,Precificação!$J$6:$J$20)</f>
        <v>31080</v>
      </c>
      <c r="J27" s="17" t="n">
        <f aca="false">SUMPRODUCT(J9:J23,Precificação!$J$6:$J$20)</f>
        <v>38850</v>
      </c>
      <c r="K27" s="17" t="n">
        <f aca="false">SUMPRODUCT(K9:K23,Precificação!$J$6:$J$20)</f>
        <v>42735</v>
      </c>
      <c r="L27" s="17" t="n">
        <f aca="false">SUMPRODUCT(L9:L23,Precificação!$J$6:$J$20)</f>
        <v>38850</v>
      </c>
      <c r="M27" s="17" t="n">
        <f aca="false">SUMPRODUCT(M9:M23,Precificação!$J$6:$J$20)</f>
        <v>46620</v>
      </c>
      <c r="N27" s="17" t="n">
        <f aca="false">SUMPRODUCT(N9:N23,Precificação!$J$6:$J$20)</f>
        <v>50505</v>
      </c>
      <c r="O27" s="16" t="n">
        <f aca="false">SUM(C27:N27)</f>
        <v>520590</v>
      </c>
    </row>
    <row r="28" customFormat="false" ht="15" hidden="false" customHeight="true" outlineLevel="0" collapsed="false">
      <c r="A28" s="4" t="s">
        <v>179</v>
      </c>
      <c r="C28" s="17" t="n">
        <f aca="false">C24*Entregas!$E$10</f>
        <v>1651.2</v>
      </c>
      <c r="D28" s="17" t="n">
        <f aca="false">D24*Entregas!$E$10</f>
        <v>1651.2</v>
      </c>
      <c r="E28" s="17" t="n">
        <f aca="false">E24*Entregas!$E$10</f>
        <v>2270.4</v>
      </c>
      <c r="F28" s="17" t="n">
        <f aca="false">F24*Entregas!$E$10</f>
        <v>2064</v>
      </c>
      <c r="G28" s="17" t="n">
        <f aca="false">G24*Entregas!$E$10</f>
        <v>3715.2</v>
      </c>
      <c r="H28" s="17" t="n">
        <f aca="false">H24*Entregas!$E$10</f>
        <v>3096</v>
      </c>
      <c r="I28" s="17" t="n">
        <f aca="false">I24*Entregas!$E$10</f>
        <v>1651.2</v>
      </c>
      <c r="J28" s="17" t="n">
        <f aca="false">J24*Entregas!$E$10</f>
        <v>2064</v>
      </c>
      <c r="K28" s="17" t="n">
        <f aca="false">K24*Entregas!$E$10</f>
        <v>2270.4</v>
      </c>
      <c r="L28" s="17" t="n">
        <f aca="false">L24*Entregas!$E$10</f>
        <v>2064</v>
      </c>
      <c r="M28" s="17" t="n">
        <f aca="false">M24*Entregas!$E$10</f>
        <v>2476.8</v>
      </c>
      <c r="N28" s="17" t="n">
        <f aca="false">N24*Entregas!$E$10</f>
        <v>2683.2</v>
      </c>
      <c r="O28" s="16" t="n">
        <f aca="false">SUM(C28:N28)</f>
        <v>27657.6</v>
      </c>
    </row>
    <row r="29" customFormat="false" ht="15" hidden="false" customHeight="true" outlineLevel="0" collapsed="false">
      <c r="A29" s="3" t="s">
        <v>180</v>
      </c>
      <c r="C29" s="26" t="n">
        <f aca="false">C27+C28</f>
        <v>32731.2</v>
      </c>
      <c r="D29" s="26" t="n">
        <f aca="false">D27+D28</f>
        <v>32731.2</v>
      </c>
      <c r="E29" s="26" t="n">
        <f aca="false">E27+E28</f>
        <v>45005.4</v>
      </c>
      <c r="F29" s="26" t="n">
        <f aca="false">F27+F28</f>
        <v>40914</v>
      </c>
      <c r="G29" s="26" t="n">
        <f aca="false">G27+G28</f>
        <v>73645.2</v>
      </c>
      <c r="H29" s="26" t="n">
        <f aca="false">H27+H28</f>
        <v>61371</v>
      </c>
      <c r="I29" s="26" t="n">
        <f aca="false">I27+I28</f>
        <v>32731.2</v>
      </c>
      <c r="J29" s="26" t="n">
        <f aca="false">J27+J28</f>
        <v>40914</v>
      </c>
      <c r="K29" s="26" t="n">
        <f aca="false">K27+K28</f>
        <v>45005.4</v>
      </c>
      <c r="L29" s="26" t="n">
        <f aca="false">L27+L28</f>
        <v>40914</v>
      </c>
      <c r="M29" s="26" t="n">
        <f aca="false">M27+M28</f>
        <v>49096.8</v>
      </c>
      <c r="N29" s="26" t="n">
        <f aca="false">N27+N28</f>
        <v>53188.2</v>
      </c>
      <c r="O29" s="26" t="n">
        <f aca="false">SUM(C29:N29)</f>
        <v>548247.6</v>
      </c>
    </row>
    <row r="30" customFormat="false" ht="15" hidden="false" customHeight="true" outlineLevel="0" collapsed="false">
      <c r="A30" s="4" t="s">
        <v>181</v>
      </c>
      <c r="C30" s="17" t="n">
        <f aca="false">SUMPRODUCT(C9:C23,Precificação!$E$6:$E$20)*C6</f>
        <v>12299.0326797386</v>
      </c>
      <c r="D30" s="17" t="n">
        <f aca="false">SUMPRODUCT(D9:D23,Precificação!$E$6:$E$20)*D6</f>
        <v>12299.0326797386</v>
      </c>
      <c r="E30" s="17" t="n">
        <f aca="false">SUMPRODUCT(E9:E23,Precificação!$E$6:$E$20)*E6</f>
        <v>17756.7284313726</v>
      </c>
      <c r="F30" s="17" t="n">
        <f aca="false">SUMPRODUCT(F9:F23,Precificação!$E$6:$E$20)*F6</f>
        <v>15373.7908496732</v>
      </c>
      <c r="G30" s="17" t="n">
        <f aca="false">SUMPRODUCT(G9:G23,Precificação!$E$6:$E$20)*G6</f>
        <v>35974.6705882353</v>
      </c>
      <c r="H30" s="17" t="n">
        <f aca="false">SUMPRODUCT(H9:H23,Precificação!$E$6:$E$20)*H6</f>
        <v>27672.8235294118</v>
      </c>
      <c r="I30" s="17" t="n">
        <f aca="false">SUMPRODUCT(I9:I23,Precificação!$E$6:$E$20)*I6</f>
        <v>12299.0326797386</v>
      </c>
      <c r="J30" s="17" t="n">
        <f aca="false">SUMPRODUCT(J9:J23,Precificação!$E$6:$E$20)*J6</f>
        <v>15373.7908496732</v>
      </c>
      <c r="K30" s="17" t="n">
        <f aca="false">SUMPRODUCT(K9:K23,Precificação!$E$6:$E$20)*K6</f>
        <v>16911.1699346405</v>
      </c>
      <c r="L30" s="17" t="n">
        <f aca="false">SUMPRODUCT(L9:L23,Precificação!$E$6:$E$20)*L6</f>
        <v>15373.7908496732</v>
      </c>
      <c r="M30" s="17" t="n">
        <f aca="false">SUMPRODUCT(M9:M23,Precificação!$E$6:$E$20)*M6</f>
        <v>20293.4039215686</v>
      </c>
      <c r="N30" s="17" t="n">
        <f aca="false">SUMPRODUCT(N9:N23,Precificação!$E$6:$E$20)*N6</f>
        <v>21984.5209150327</v>
      </c>
      <c r="O30" s="16" t="n">
        <f aca="false">SUM(C30:N30)</f>
        <v>223611.787908497</v>
      </c>
    </row>
    <row r="31" customFormat="false" ht="15" hidden="false" customHeight="true" outlineLevel="0" collapsed="false">
      <c r="A31" s="4" t="s">
        <v>182</v>
      </c>
      <c r="C31" s="17" t="n">
        <f aca="false">C29*Parâmetros!$B$10</f>
        <v>3273.12</v>
      </c>
      <c r="D31" s="17" t="n">
        <f aca="false">D29*Parâmetros!$B$10</f>
        <v>3273.12</v>
      </c>
      <c r="E31" s="17" t="n">
        <f aca="false">E29*Parâmetros!$B$10</f>
        <v>4500.54</v>
      </c>
      <c r="F31" s="17" t="n">
        <f aca="false">F29*Parâmetros!$B$10</f>
        <v>4091.4</v>
      </c>
      <c r="G31" s="17" t="n">
        <f aca="false">G29*Parâmetros!$B$10</f>
        <v>7364.52</v>
      </c>
      <c r="H31" s="17" t="n">
        <f aca="false">H29*Parâmetros!$B$10</f>
        <v>6137.1</v>
      </c>
      <c r="I31" s="17" t="n">
        <f aca="false">I29*Parâmetros!$B$10</f>
        <v>3273.12</v>
      </c>
      <c r="J31" s="17" t="n">
        <f aca="false">J29*Parâmetros!$B$10</f>
        <v>4091.4</v>
      </c>
      <c r="K31" s="17" t="n">
        <f aca="false">K29*Parâmetros!$B$10</f>
        <v>4500.54</v>
      </c>
      <c r="L31" s="17" t="n">
        <f aca="false">L29*Parâmetros!$B$10</f>
        <v>4091.4</v>
      </c>
      <c r="M31" s="17" t="n">
        <f aca="false">M29*Parâmetros!$B$10</f>
        <v>4909.68</v>
      </c>
      <c r="N31" s="17" t="n">
        <f aca="false">N29*Parâmetros!$B$10</f>
        <v>5318.82</v>
      </c>
      <c r="O31" s="16" t="n">
        <f aca="false">SUM(C31:N31)</f>
        <v>54824.76</v>
      </c>
    </row>
    <row r="32" customFormat="false" ht="15" hidden="false" customHeight="true" outlineLevel="0" collapsed="false">
      <c r="A32" s="4" t="s">
        <v>183</v>
      </c>
      <c r="C32" s="17" t="n">
        <f aca="false">C24*Entregas!$D$10</f>
        <v>1312</v>
      </c>
      <c r="D32" s="17" t="n">
        <f aca="false">D24*Entregas!$D$10</f>
        <v>1312</v>
      </c>
      <c r="E32" s="17" t="n">
        <f aca="false">E24*Entregas!$D$10</f>
        <v>1804</v>
      </c>
      <c r="F32" s="17" t="n">
        <f aca="false">F24*Entregas!$D$10</f>
        <v>1640</v>
      </c>
      <c r="G32" s="17" t="n">
        <f aca="false">G24*Entregas!$D$10</f>
        <v>2952</v>
      </c>
      <c r="H32" s="17" t="n">
        <f aca="false">H24*Entregas!$D$10</f>
        <v>2460</v>
      </c>
      <c r="I32" s="17" t="n">
        <f aca="false">I24*Entregas!$D$10</f>
        <v>1312</v>
      </c>
      <c r="J32" s="17" t="n">
        <f aca="false">J24*Entregas!$D$10</f>
        <v>1640</v>
      </c>
      <c r="K32" s="17" t="n">
        <f aca="false">K24*Entregas!$D$10</f>
        <v>1804</v>
      </c>
      <c r="L32" s="17" t="n">
        <f aca="false">L24*Entregas!$D$10</f>
        <v>1640</v>
      </c>
      <c r="M32" s="17" t="n">
        <f aca="false">M24*Entregas!$D$10</f>
        <v>1968</v>
      </c>
      <c r="N32" s="17" t="n">
        <f aca="false">N24*Entregas!$D$10</f>
        <v>2132</v>
      </c>
      <c r="O32" s="16" t="n">
        <f aca="false">SUM(C32:N32)</f>
        <v>21976</v>
      </c>
    </row>
    <row r="33" customFormat="false" ht="15" hidden="false" customHeight="true" outlineLevel="0" collapsed="false">
      <c r="A33" s="3" t="s">
        <v>184</v>
      </c>
      <c r="C33" s="26" t="n">
        <f aca="false">C29-C30-C31-C32</f>
        <v>15847.0473202614</v>
      </c>
      <c r="D33" s="26" t="n">
        <f aca="false">D29-D30-D31-D32</f>
        <v>15847.0473202614</v>
      </c>
      <c r="E33" s="26" t="n">
        <f aca="false">E29-E30-E31-E32</f>
        <v>20944.1315686275</v>
      </c>
      <c r="F33" s="26" t="n">
        <f aca="false">F29-F30-F31-F32</f>
        <v>19808.8091503268</v>
      </c>
      <c r="G33" s="26" t="n">
        <f aca="false">G29-G30-G31-G32</f>
        <v>27354.0094117647</v>
      </c>
      <c r="H33" s="26" t="n">
        <f aca="false">H29-H30-H31-H32</f>
        <v>25101.0764705882</v>
      </c>
      <c r="I33" s="26" t="n">
        <f aca="false">I29-I30-I31-I32</f>
        <v>15847.0473202614</v>
      </c>
      <c r="J33" s="26" t="n">
        <f aca="false">J29-J30-J31-J32</f>
        <v>19808.8091503268</v>
      </c>
      <c r="K33" s="26" t="n">
        <f aca="false">K29-K30-K31-K32</f>
        <v>21789.6900653595</v>
      </c>
      <c r="L33" s="26" t="n">
        <f aca="false">L29-L30-L31-L32</f>
        <v>19808.8091503268</v>
      </c>
      <c r="M33" s="26" t="n">
        <f aca="false">M29-M30-M31-M32</f>
        <v>21925.7160784314</v>
      </c>
      <c r="N33" s="26" t="n">
        <f aca="false">N29-N30-N31-N32</f>
        <v>23752.8590849673</v>
      </c>
      <c r="O33" s="26" t="n">
        <f aca="false">SUM(C33:N33)</f>
        <v>247835.052091503</v>
      </c>
    </row>
    <row r="34" customFormat="false" ht="15" hidden="false" customHeight="true" outlineLevel="0" collapsed="false">
      <c r="A34" s="4" t="s">
        <v>185</v>
      </c>
      <c r="C34" s="17" t="n">
        <f aca="false">Despesas!$B$32</f>
        <v>15560</v>
      </c>
      <c r="D34" s="17" t="n">
        <f aca="false">Despesas!$B$32</f>
        <v>15560</v>
      </c>
      <c r="E34" s="17" t="n">
        <f aca="false">Despesas!$B$32</f>
        <v>15560</v>
      </c>
      <c r="F34" s="17" t="n">
        <f aca="false">Despesas!$B$32</f>
        <v>15560</v>
      </c>
      <c r="G34" s="17" t="n">
        <f aca="false">Despesas!$B$32</f>
        <v>15560</v>
      </c>
      <c r="H34" s="17" t="n">
        <f aca="false">Despesas!$B$32</f>
        <v>15560</v>
      </c>
      <c r="I34" s="17" t="n">
        <f aca="false">Despesas!$B$32</f>
        <v>15560</v>
      </c>
      <c r="J34" s="17" t="n">
        <f aca="false">Despesas!$B$32</f>
        <v>15560</v>
      </c>
      <c r="K34" s="17" t="n">
        <f aca="false">Despesas!$B$32</f>
        <v>15560</v>
      </c>
      <c r="L34" s="17" t="n">
        <f aca="false">Despesas!$B$32</f>
        <v>15560</v>
      </c>
      <c r="M34" s="17" t="n">
        <f aca="false">Despesas!$B$32</f>
        <v>15560</v>
      </c>
      <c r="N34" s="17" t="n">
        <f aca="false">Despesas!$B$32</f>
        <v>15560</v>
      </c>
      <c r="O34" s="16" t="n">
        <f aca="false">SUM(C34:N34)</f>
        <v>186720</v>
      </c>
    </row>
    <row r="35" customFormat="false" ht="15" hidden="false" customHeight="true" outlineLevel="0" collapsed="false">
      <c r="A35" s="3" t="s">
        <v>186</v>
      </c>
      <c r="C35" s="26" t="n">
        <f aca="false">C33-C34</f>
        <v>287.047320261441</v>
      </c>
      <c r="D35" s="26" t="n">
        <f aca="false">D33-D34</f>
        <v>287.047320261441</v>
      </c>
      <c r="E35" s="26" t="n">
        <f aca="false">E33-E34</f>
        <v>5384.13156862745</v>
      </c>
      <c r="F35" s="26" t="n">
        <f aca="false">F33-F34</f>
        <v>4248.80915032679</v>
      </c>
      <c r="G35" s="26" t="n">
        <f aca="false">G33-G34</f>
        <v>11794.0094117647</v>
      </c>
      <c r="H35" s="26" t="n">
        <f aca="false">H33-H34</f>
        <v>9541.07647058824</v>
      </c>
      <c r="I35" s="26" t="n">
        <f aca="false">I33-I34</f>
        <v>287.047320261441</v>
      </c>
      <c r="J35" s="26" t="n">
        <f aca="false">J33-J34</f>
        <v>4248.80915032679</v>
      </c>
      <c r="K35" s="26" t="n">
        <f aca="false">K33-K34</f>
        <v>6229.69006535948</v>
      </c>
      <c r="L35" s="26" t="n">
        <f aca="false">L33-L34</f>
        <v>4248.80915032679</v>
      </c>
      <c r="M35" s="26" t="n">
        <f aca="false">M33-M34</f>
        <v>6365.71607843138</v>
      </c>
      <c r="N35" s="26" t="n">
        <f aca="false">N33-N34</f>
        <v>8192.85908496732</v>
      </c>
      <c r="O35" s="26" t="n">
        <f aca="false">SUM(C35:N35)</f>
        <v>61115.0520915033</v>
      </c>
    </row>
    <row r="36" customFormat="false" ht="15" hidden="false" customHeight="true" outlineLevel="0" collapsed="false">
      <c r="A36" s="1" t="s">
        <v>187</v>
      </c>
      <c r="C36" s="16" t="n">
        <f aca="false">C35</f>
        <v>287.047320261441</v>
      </c>
      <c r="D36" s="16" t="n">
        <f aca="false">C36+D35</f>
        <v>574.094640522882</v>
      </c>
      <c r="E36" s="16" t="n">
        <f aca="false">D36+E35</f>
        <v>5958.22620915033</v>
      </c>
      <c r="F36" s="16" t="n">
        <f aca="false">E36+F35</f>
        <v>10207.0353594771</v>
      </c>
      <c r="G36" s="16" t="n">
        <f aca="false">F36+G35</f>
        <v>22001.0447712418</v>
      </c>
      <c r="H36" s="16" t="n">
        <f aca="false">G36+H35</f>
        <v>31542.1212418301</v>
      </c>
      <c r="I36" s="16" t="n">
        <f aca="false">H36+I35</f>
        <v>31829.1685620915</v>
      </c>
      <c r="J36" s="16" t="n">
        <f aca="false">I36+J35</f>
        <v>36077.9777124183</v>
      </c>
      <c r="K36" s="16" t="n">
        <f aca="false">J36+K35</f>
        <v>42307.6677777778</v>
      </c>
      <c r="L36" s="16" t="n">
        <f aca="false">K36+L35</f>
        <v>46556.4769281046</v>
      </c>
      <c r="M36" s="16" t="n">
        <f aca="false">L36+M35</f>
        <v>52922.193006536</v>
      </c>
      <c r="N36" s="16" t="n">
        <f aca="false">M36+N35</f>
        <v>61115.0520915033</v>
      </c>
    </row>
    <row r="37" customFormat="false" ht="15" hidden="false" customHeight="true" outlineLevel="0" collapsed="false">
      <c r="A37" s="1" t="s">
        <v>188</v>
      </c>
      <c r="B37" s="17" t="n">
        <f aca="false">SUMPRODUCT(B9:B23,Precificação!$E$6:$E$20)</f>
        <v>15373.7908496732</v>
      </c>
    </row>
    <row r="38" customFormat="false" ht="15" hidden="false" customHeight="true" outlineLevel="0" collapsed="false">
      <c r="A38" s="1" t="s">
        <v>189</v>
      </c>
      <c r="C38" s="12" t="n">
        <f aca="false">IFERROR(C35/C29,0)</f>
        <v>0.00876983796076652</v>
      </c>
      <c r="D38" s="12" t="n">
        <f aca="false">IFERROR(D35/D29,0)</f>
        <v>0.00876983796076652</v>
      </c>
      <c r="E38" s="12" t="n">
        <f aca="false">IFERROR(E35/E29,0)</f>
        <v>0.119633012230253</v>
      </c>
      <c r="F38" s="12" t="n">
        <f aca="false">IFERROR(F35/F29,0)</f>
        <v>0.103847317552104</v>
      </c>
      <c r="G38" s="12" t="n">
        <f aca="false">IFERROR(G35/G29,0)</f>
        <v>0.160146342351772</v>
      </c>
      <c r="H38" s="12" t="n">
        <f aca="false">IFERROR(H35/H29,0)</f>
        <v>0.155465553283933</v>
      </c>
      <c r="I38" s="12" t="n">
        <f aca="false">IFERROR(I35/I29,0)</f>
        <v>0.00876983796076652</v>
      </c>
      <c r="J38" s="12" t="n">
        <f aca="false">IFERROR(J35/J29,0)</f>
        <v>0.103847317552104</v>
      </c>
      <c r="K38" s="12" t="n">
        <f aca="false">IFERROR(K35/K29,0)</f>
        <v>0.138420946494409</v>
      </c>
      <c r="L38" s="12" t="n">
        <f aca="false">IFERROR(L35/L29,0)</f>
        <v>0.103847317552104</v>
      </c>
      <c r="M38" s="12" t="n">
        <f aca="false">IFERROR(M35/M29,0)</f>
        <v>0.129656435418019</v>
      </c>
      <c r="N38" s="12" t="n">
        <f aca="false">IFERROR(N35/N29,0)</f>
        <v>0.154035276338874</v>
      </c>
      <c r="O38" s="12" t="n">
        <f aca="false">IFERROR(O35/O29,0)</f>
        <v>0.111473451213472</v>
      </c>
    </row>
    <row r="40" customFormat="false" ht="15" hidden="false" customHeight="true" outlineLevel="0" collapsed="false">
      <c r="A40" s="3" t="s">
        <v>190</v>
      </c>
    </row>
    <row r="41" customFormat="false" ht="15" hidden="false" customHeight="true" outlineLevel="0" collapsed="false">
      <c r="A41" s="4" t="s">
        <v>191</v>
      </c>
      <c r="B41" s="17" t="n">
        <f aca="false">Despesas!B32</f>
        <v>15560</v>
      </c>
    </row>
    <row r="42" customFormat="false" ht="15" hidden="false" customHeight="true" outlineLevel="0" collapsed="false">
      <c r="A42" s="4" t="s">
        <v>192</v>
      </c>
      <c r="B42" s="12" t="n">
        <f aca="false">IFERROR(O33/O29,0)</f>
        <v>0.452049497510802</v>
      </c>
    </row>
    <row r="43" customFormat="false" ht="15" hidden="false" customHeight="true" outlineLevel="0" collapsed="false">
      <c r="A43" s="4" t="s">
        <v>193</v>
      </c>
      <c r="B43" s="18" t="n">
        <f aca="false">IFERROR(B41/B42,0)</f>
        <v>34421.0093931764</v>
      </c>
    </row>
    <row r="44" customFormat="false" ht="15" hidden="false" customHeight="true" outlineLevel="0" collapsed="false">
      <c r="A44" s="4" t="s">
        <v>194</v>
      </c>
      <c r="B44" s="16" t="n">
        <f aca="false">O29/12</f>
        <v>45687.3</v>
      </c>
    </row>
    <row r="45" customFormat="false" ht="15" hidden="false" customHeight="true" outlineLevel="0" collapsed="false">
      <c r="A45" s="4" t="s">
        <v>195</v>
      </c>
      <c r="B45" s="12" t="n">
        <f aca="false">IFERROR(1-B43/B44,0)</f>
        <v>0.246595675533979</v>
      </c>
    </row>
    <row r="46" customFormat="false" ht="15" hidden="false" customHeight="true" outlineLevel="0" collapsed="false">
      <c r="A46" s="4" t="s">
        <v>196</v>
      </c>
      <c r="B46" s="16" t="n">
        <f aca="false">COUNTIF(C35:N35,"&lt;0")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0"/>
    <col collapsed="false" customWidth="true" hidden="false" outlineLevel="0" max="2" min="2" style="1" width="16"/>
    <col collapsed="false" customWidth="true" hidden="false" outlineLevel="0" max="3" min="3" style="1" width="3"/>
    <col collapsed="false" customWidth="true" hidden="false" outlineLevel="0" max="4" min="4" style="1" width="9"/>
    <col collapsed="false" customWidth="true" hidden="false" outlineLevel="0" max="6" min="5" style="1" width="14"/>
  </cols>
  <sheetData>
    <row r="1" customFormat="false" ht="17.25" hidden="false" customHeight="true" outlineLevel="0" collapsed="false">
      <c r="A1" s="2" t="s">
        <v>197</v>
      </c>
    </row>
    <row r="2" customFormat="false" ht="15" hidden="false" customHeight="true" outlineLevel="0" collapsed="false">
      <c r="A2" s="8" t="s">
        <v>198</v>
      </c>
    </row>
    <row r="3" customFormat="false" ht="31.5" hidden="false" customHeight="true" outlineLevel="0" collapsed="false">
      <c r="A3" s="9" t="s">
        <v>159</v>
      </c>
      <c r="B3" s="9" t="s">
        <v>34</v>
      </c>
      <c r="D3" s="9" t="s">
        <v>199</v>
      </c>
      <c r="E3" s="9" t="s">
        <v>200</v>
      </c>
      <c r="F3" s="9" t="s">
        <v>139</v>
      </c>
    </row>
    <row r="4" customFormat="false" ht="15" hidden="false" customHeight="true" outlineLevel="0" collapsed="false">
      <c r="A4" s="4" t="s">
        <v>201</v>
      </c>
      <c r="B4" s="17" t="n">
        <f aca="false">'Plano anual'!O29</f>
        <v>548247.6</v>
      </c>
      <c r="D4" s="4" t="s">
        <v>161</v>
      </c>
      <c r="E4" s="17" t="n">
        <f aca="false">'Plano anual'!C29</f>
        <v>32731.2</v>
      </c>
      <c r="F4" s="17" t="n">
        <f aca="false">'Plano anual'!C35</f>
        <v>287.047320261441</v>
      </c>
    </row>
    <row r="5" customFormat="false" ht="15" hidden="false" customHeight="true" outlineLevel="0" collapsed="false">
      <c r="A5" s="4" t="s">
        <v>202</v>
      </c>
      <c r="B5" s="17" t="n">
        <f aca="false">'Plano anual'!O35</f>
        <v>61115.0520915033</v>
      </c>
      <c r="D5" s="4" t="s">
        <v>162</v>
      </c>
      <c r="E5" s="17" t="n">
        <f aca="false">'Plano anual'!D29</f>
        <v>32731.2</v>
      </c>
      <c r="F5" s="17" t="n">
        <f aca="false">'Plano anual'!D35</f>
        <v>287.047320261441</v>
      </c>
    </row>
    <row r="6" customFormat="false" ht="15" hidden="false" customHeight="true" outlineLevel="0" collapsed="false">
      <c r="A6" s="4" t="s">
        <v>189</v>
      </c>
      <c r="B6" s="27" t="n">
        <f aca="false">'Plano anual'!O38</f>
        <v>0.111473451213472</v>
      </c>
      <c r="D6" s="4" t="s">
        <v>163</v>
      </c>
      <c r="E6" s="17" t="n">
        <f aca="false">'Plano anual'!E29</f>
        <v>45005.4</v>
      </c>
      <c r="F6" s="17" t="n">
        <f aca="false">'Plano anual'!E35</f>
        <v>5384.13156862745</v>
      </c>
    </row>
    <row r="7" customFormat="false" ht="15" hidden="false" customHeight="true" outlineLevel="0" collapsed="false">
      <c r="A7" s="4" t="s">
        <v>191</v>
      </c>
      <c r="B7" s="17" t="n">
        <f aca="false">'Plano anual'!B41</f>
        <v>15560</v>
      </c>
      <c r="D7" s="4" t="s">
        <v>164</v>
      </c>
      <c r="E7" s="17" t="n">
        <f aca="false">'Plano anual'!F29</f>
        <v>40914</v>
      </c>
      <c r="F7" s="17" t="n">
        <f aca="false">'Plano anual'!F35</f>
        <v>4248.80915032679</v>
      </c>
    </row>
    <row r="8" customFormat="false" ht="15" hidden="false" customHeight="true" outlineLevel="0" collapsed="false">
      <c r="A8" s="4" t="s">
        <v>193</v>
      </c>
      <c r="B8" s="17" t="n">
        <f aca="false">'Plano anual'!B43</f>
        <v>34421.0093931764</v>
      </c>
      <c r="D8" s="4" t="s">
        <v>165</v>
      </c>
      <c r="E8" s="17" t="n">
        <f aca="false">'Plano anual'!G29</f>
        <v>73645.2</v>
      </c>
      <c r="F8" s="17" t="n">
        <f aca="false">'Plano anual'!G35</f>
        <v>11794.0094117647</v>
      </c>
    </row>
    <row r="9" customFormat="false" ht="15" hidden="false" customHeight="true" outlineLevel="0" collapsed="false">
      <c r="A9" s="4" t="s">
        <v>203</v>
      </c>
      <c r="B9" s="17" t="n">
        <f aca="false">'Plano anual'!B44</f>
        <v>45687.3</v>
      </c>
      <c r="D9" s="4" t="s">
        <v>166</v>
      </c>
      <c r="E9" s="17" t="n">
        <f aca="false">'Plano anual'!H29</f>
        <v>61371</v>
      </c>
      <c r="F9" s="17" t="n">
        <f aca="false">'Plano anual'!H35</f>
        <v>9541.07647058824</v>
      </c>
    </row>
    <row r="10" customFormat="false" ht="15" hidden="false" customHeight="true" outlineLevel="0" collapsed="false">
      <c r="A10" s="4" t="s">
        <v>204</v>
      </c>
      <c r="B10" s="27" t="n">
        <f aca="false">'Plano anual'!B45</f>
        <v>0.246595675533979</v>
      </c>
      <c r="D10" s="4" t="s">
        <v>167</v>
      </c>
      <c r="E10" s="17" t="n">
        <f aca="false">'Plano anual'!I29</f>
        <v>32731.2</v>
      </c>
      <c r="F10" s="17" t="n">
        <f aca="false">'Plano anual'!I35</f>
        <v>287.047320261441</v>
      </c>
    </row>
    <row r="11" customFormat="false" ht="15" hidden="false" customHeight="true" outlineLevel="0" collapsed="false">
      <c r="A11" s="4" t="s">
        <v>205</v>
      </c>
      <c r="B11" s="17" t="n">
        <f aca="false">'Plano anual'!B46</f>
        <v>0</v>
      </c>
      <c r="D11" s="4" t="s">
        <v>168</v>
      </c>
      <c r="E11" s="17" t="n">
        <f aca="false">'Plano anual'!J29</f>
        <v>40914</v>
      </c>
      <c r="F11" s="17" t="n">
        <f aca="false">'Plano anual'!J35</f>
        <v>4248.80915032679</v>
      </c>
    </row>
    <row r="12" customFormat="false" ht="15" hidden="false" customHeight="true" outlineLevel="0" collapsed="false">
      <c r="A12" s="4" t="s">
        <v>206</v>
      </c>
      <c r="B12" s="17" t="n">
        <f aca="false">Despesas!B10</f>
        <v>31.6363636363636</v>
      </c>
      <c r="D12" s="4" t="s">
        <v>169</v>
      </c>
      <c r="E12" s="17" t="n">
        <f aca="false">'Plano anual'!K29</f>
        <v>45005.4</v>
      </c>
      <c r="F12" s="17" t="n">
        <f aca="false">'Plano anual'!K35</f>
        <v>6229.69006535948</v>
      </c>
    </row>
    <row r="13" customFormat="false" ht="15" hidden="false" customHeight="true" outlineLevel="0" collapsed="false">
      <c r="A13" s="4" t="s">
        <v>207</v>
      </c>
      <c r="B13" s="27" t="n">
        <f aca="false">Despesas!B30</f>
        <v>0.559393586402459</v>
      </c>
      <c r="D13" s="4" t="s">
        <v>170</v>
      </c>
      <c r="E13" s="17" t="n">
        <f aca="false">'Plano anual'!L29</f>
        <v>40914</v>
      </c>
      <c r="F13" s="17" t="n">
        <f aca="false">'Plano anual'!L35</f>
        <v>4248.80915032679</v>
      </c>
    </row>
    <row r="14" customFormat="false" ht="15" hidden="false" customHeight="true" outlineLevel="0" collapsed="false">
      <c r="D14" s="4" t="s">
        <v>171</v>
      </c>
      <c r="E14" s="17" t="n">
        <f aca="false">'Plano anual'!M29</f>
        <v>49096.8</v>
      </c>
      <c r="F14" s="17" t="n">
        <f aca="false">'Plano anual'!M35</f>
        <v>6365.71607843138</v>
      </c>
    </row>
    <row r="15" customFormat="false" ht="15" hidden="false" customHeight="true" outlineLevel="0" collapsed="false">
      <c r="D15" s="4" t="s">
        <v>172</v>
      </c>
      <c r="E15" s="17" t="n">
        <f aca="false">'Plano anual'!N29</f>
        <v>53188.2</v>
      </c>
      <c r="F15" s="17" t="n">
        <f aca="false">'Plano anual'!N35</f>
        <v>8192.85908496732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2026-11-03T20:50:25Z</dcterms:created>
  <dc:creator>openpyxl</dc:creator>
  <dc:description/>
  <dc:language>en-US</dc:language>
  <cp:lastModifiedBy/>
  <dcterms:modified xsi:type="dcterms:W3CDTF">2026-11-04T00:20:40Z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